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ELA DE VENCIMENTOS\2023\com reajuste de 4,5%\"/>
    </mc:Choice>
  </mc:AlternateContent>
  <xr:revisionPtr revIDLastSave="4" documentId="13_ncr:1_{03B00340-3A8E-49FE-8EC1-E0E6D7E11BE2}" xr6:coauthVersionLast="47" xr6:coauthVersionMax="47" xr10:uidLastSave="{89EBA106-54A3-4213-A32D-2A77165A1AA0}"/>
  <bookViews>
    <workbookView xWindow="-120" yWindow="-120" windowWidth="29040" windowHeight="15840" xr2:uid="{FF725719-62CE-48F3-8DF6-CC450A3A3EA0}"/>
  </bookViews>
  <sheets>
    <sheet name="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F55" i="1"/>
  <c r="L146" i="1"/>
  <c r="I141" i="1"/>
  <c r="F290" i="1"/>
  <c r="F289" i="1"/>
  <c r="F288" i="1"/>
  <c r="F286" i="1"/>
  <c r="F285" i="1"/>
  <c r="F284" i="1"/>
  <c r="F283" i="1"/>
  <c r="F282" i="1"/>
  <c r="F281" i="1"/>
  <c r="F280" i="1"/>
  <c r="F279" i="1"/>
  <c r="F278" i="1"/>
  <c r="F277" i="1"/>
  <c r="D254" i="1"/>
  <c r="D253" i="1"/>
  <c r="D252" i="1"/>
  <c r="D251" i="1"/>
  <c r="D250" i="1"/>
  <c r="E245" i="1"/>
  <c r="E244" i="1"/>
  <c r="E243" i="1"/>
  <c r="D228" i="1"/>
  <c r="D227" i="1"/>
  <c r="D196" i="1"/>
  <c r="D183" i="1"/>
  <c r="D182" i="1"/>
  <c r="D177" i="1"/>
  <c r="D176" i="1"/>
  <c r="D175" i="1"/>
  <c r="D174" i="1"/>
  <c r="D152" i="1"/>
  <c r="D151" i="1"/>
  <c r="D150" i="1"/>
  <c r="D149" i="1"/>
  <c r="H147" i="1"/>
  <c r="D146" i="1"/>
  <c r="F146" i="1" s="1"/>
  <c r="D145" i="1"/>
  <c r="H145" i="1" s="1"/>
  <c r="D144" i="1"/>
  <c r="D143" i="1"/>
  <c r="H143" i="1" s="1"/>
  <c r="F142" i="1"/>
  <c r="D126" i="1"/>
  <c r="D125" i="1"/>
  <c r="D124" i="1"/>
  <c r="D123" i="1"/>
  <c r="D122" i="1"/>
  <c r="D118" i="1"/>
  <c r="D117" i="1"/>
  <c r="D116" i="1"/>
  <c r="D115" i="1"/>
  <c r="D114" i="1"/>
  <c r="D113" i="1"/>
  <c r="D106" i="1"/>
  <c r="D105" i="1"/>
  <c r="D104" i="1"/>
  <c r="D103" i="1"/>
  <c r="D102" i="1"/>
  <c r="D101" i="1"/>
  <c r="D93" i="1"/>
  <c r="D92" i="1"/>
  <c r="D91" i="1"/>
  <c r="D90" i="1"/>
  <c r="D89" i="1"/>
  <c r="D88" i="1"/>
  <c r="D81" i="1"/>
  <c r="D80" i="1"/>
  <c r="D79" i="1"/>
  <c r="D78" i="1"/>
  <c r="D77" i="1"/>
  <c r="D76" i="1"/>
  <c r="I67" i="1"/>
  <c r="H67" i="1"/>
  <c r="G67" i="1"/>
  <c r="F67" i="1"/>
  <c r="E67" i="1"/>
  <c r="D67" i="1"/>
  <c r="I66" i="1"/>
  <c r="H66" i="1"/>
  <c r="G66" i="1"/>
  <c r="F66" i="1"/>
  <c r="E66" i="1"/>
  <c r="D66" i="1"/>
  <c r="I65" i="1"/>
  <c r="H65" i="1"/>
  <c r="G65" i="1"/>
  <c r="F65" i="1"/>
  <c r="E65" i="1"/>
  <c r="D65" i="1"/>
  <c r="I64" i="1"/>
  <c r="H64" i="1"/>
  <c r="G64" i="1"/>
  <c r="F64" i="1"/>
  <c r="E64" i="1"/>
  <c r="D64" i="1"/>
  <c r="I63" i="1"/>
  <c r="H63" i="1"/>
  <c r="G63" i="1"/>
  <c r="F63" i="1"/>
  <c r="E63" i="1"/>
  <c r="D63" i="1"/>
  <c r="I57" i="1"/>
  <c r="H57" i="1"/>
  <c r="G57" i="1"/>
  <c r="F57" i="1"/>
  <c r="D57" i="1"/>
  <c r="I56" i="1"/>
  <c r="H56" i="1"/>
  <c r="G56" i="1"/>
  <c r="F56" i="1"/>
  <c r="D56" i="1"/>
  <c r="I55" i="1"/>
  <c r="H55" i="1"/>
  <c r="G55" i="1"/>
  <c r="D55" i="1"/>
  <c r="I54" i="1"/>
  <c r="G54" i="1"/>
  <c r="D54" i="1"/>
  <c r="I53" i="1"/>
  <c r="H53" i="1"/>
  <c r="G53" i="1"/>
  <c r="F53" i="1"/>
  <c r="D53" i="1"/>
  <c r="E45" i="1"/>
  <c r="E44" i="1"/>
  <c r="E43" i="1"/>
  <c r="E42" i="1"/>
  <c r="E41" i="1"/>
  <c r="H33" i="1"/>
  <c r="F33" i="1"/>
  <c r="D33" i="1"/>
  <c r="H32" i="1"/>
  <c r="F32" i="1"/>
  <c r="D32" i="1"/>
  <c r="H31" i="1"/>
  <c r="F31" i="1"/>
  <c r="D31" i="1"/>
  <c r="H30" i="1"/>
  <c r="F30" i="1"/>
  <c r="D30" i="1"/>
  <c r="H29" i="1"/>
  <c r="F29" i="1"/>
  <c r="D29" i="1"/>
  <c r="H23" i="1"/>
  <c r="G23" i="1"/>
  <c r="E23" i="1"/>
  <c r="H22" i="1"/>
  <c r="G22" i="1"/>
  <c r="F22" i="1"/>
  <c r="E22" i="1"/>
  <c r="H21" i="1"/>
  <c r="G21" i="1"/>
  <c r="F21" i="1"/>
  <c r="E21" i="1"/>
  <c r="D15" i="1"/>
  <c r="D13" i="1"/>
  <c r="H146" i="1" l="1"/>
  <c r="I146" i="1" s="1"/>
  <c r="F147" i="1"/>
  <c r="I147" i="1" s="1"/>
  <c r="L147" i="1" s="1"/>
  <c r="F143" i="1"/>
  <c r="I143" i="1" s="1"/>
  <c r="L143" i="1" s="1"/>
  <c r="L142" i="1"/>
  <c r="F144" i="1"/>
  <c r="F148" i="1"/>
  <c r="H144" i="1"/>
  <c r="F145" i="1"/>
  <c r="I145" i="1" s="1"/>
  <c r="L145" i="1" s="1"/>
  <c r="H148" i="1"/>
  <c r="I148" i="1" l="1"/>
  <c r="L148" i="1" s="1"/>
  <c r="I144" i="1"/>
  <c r="L144" i="1" s="1"/>
</calcChain>
</file>

<file path=xl/sharedStrings.xml><?xml version="1.0" encoding="utf-8"?>
<sst xmlns="http://schemas.openxmlformats.org/spreadsheetml/2006/main" count="319" uniqueCount="178">
  <si>
    <t>SUBSECRETARIA DE GESTÃO DE PESSOAL E DE PAGAMENTO</t>
  </si>
  <si>
    <t>DEPARTAMENTO  DE PAGAMENTO DE PESSOAL</t>
  </si>
  <si>
    <t xml:space="preserve">              - A PARTIR DE 01/06/2023 - LEI Nº 3799 /2023</t>
  </si>
  <si>
    <t>REAJUSTE</t>
  </si>
  <si>
    <t>VENCIMENTO INICIAL DO CARGO EFETIVO</t>
  </si>
  <si>
    <r>
      <t xml:space="preserve">VENCIMENTO DO CARGO EFETIVO DA </t>
    </r>
    <r>
      <rPr>
        <b/>
        <u/>
        <sz val="12"/>
        <color theme="1"/>
        <rFont val="Calibri"/>
        <family val="2"/>
      </rPr>
      <t>SUTEN</t>
    </r>
  </si>
  <si>
    <t>eram da suten - agora adm (a partir de 14)</t>
  </si>
  <si>
    <t>AGENTE DE TRÂNSITO - LEI 3401/2019</t>
  </si>
  <si>
    <t>CLASSES/REFERÊNCIAS</t>
  </si>
  <si>
    <t>IV</t>
  </si>
  <si>
    <t>III</t>
  </si>
  <si>
    <t>II</t>
  </si>
  <si>
    <t>I</t>
  </si>
  <si>
    <t>C</t>
  </si>
  <si>
    <t>B</t>
  </si>
  <si>
    <t>A</t>
  </si>
  <si>
    <t>GUARDA MUNICIPAL</t>
  </si>
  <si>
    <t>CLASSE C</t>
  </si>
  <si>
    <t>CLASSE B</t>
  </si>
  <si>
    <t>CLASSE A</t>
  </si>
  <si>
    <t>Ref - V</t>
  </si>
  <si>
    <t>Ref - IV</t>
  </si>
  <si>
    <t>Ref - III</t>
  </si>
  <si>
    <t>Ref - II</t>
  </si>
  <si>
    <t>Ref - I</t>
  </si>
  <si>
    <t>MEIO AMBIENTE E RECURSOS HÍDRICOS</t>
  </si>
  <si>
    <t>CARGO</t>
  </si>
  <si>
    <t>NÍVEL</t>
  </si>
  <si>
    <t>VALOR</t>
  </si>
  <si>
    <t>FISCAL DO MEIO AMBIENTE</t>
  </si>
  <si>
    <t>ENGENHEIRO FLORESTAL</t>
  </si>
  <si>
    <t>ENGENHEIRO SANITARISTA</t>
  </si>
  <si>
    <t>ENGENHEIRO QUÍMICO</t>
  </si>
  <si>
    <t>BIÓLOGO</t>
  </si>
  <si>
    <t>GEÓGRAFO</t>
  </si>
  <si>
    <t xml:space="preserve">LEIS 1070/92  E  1072/92  </t>
  </si>
  <si>
    <t xml:space="preserve"> QUADROS DE PESSOAL SMA E SMU</t>
  </si>
  <si>
    <t xml:space="preserve">                                     CATEGORIAS</t>
  </si>
  <si>
    <t>V</t>
  </si>
  <si>
    <t>VI</t>
  </si>
  <si>
    <t>QUADRO FAZENDÁRIO – LEI 961/91</t>
  </si>
  <si>
    <t>CATEGORIAS</t>
  </si>
  <si>
    <r>
      <t>FISCAIS DE POSTURA E OBRAS – TABELA SMA E SMU  -    PROCESSO:70/353/2020 (</t>
    </r>
    <r>
      <rPr>
        <b/>
        <sz val="11"/>
        <color theme="1"/>
        <rFont val="Calibri"/>
        <family val="2"/>
      </rPr>
      <t>com incorporação de 41% da produtividade ao vencimento)</t>
    </r>
  </si>
  <si>
    <t>NÍVEL  - 04</t>
  </si>
  <si>
    <r>
      <t>FISCAIS DE POSTURA E OBRAS – TABELA SMFPROCESSO:70/353/2020(</t>
    </r>
    <r>
      <rPr>
        <b/>
        <sz val="11"/>
        <color theme="1"/>
        <rFont val="Calibri"/>
        <family val="2"/>
      </rPr>
      <t>com incorporação de 41% da produtividade ao vencimento)</t>
    </r>
  </si>
  <si>
    <t xml:space="preserve">FISCAL DE TRIBUTOS </t>
  </si>
  <si>
    <t>NÍVEL  - 05</t>
  </si>
  <si>
    <t>ENGENHEIRO, ARQUITETO E ECONOMISTA</t>
  </si>
  <si>
    <t>06 (SEIS) SALÁRIOS</t>
  </si>
  <si>
    <t>CATEGORIA</t>
  </si>
  <si>
    <t>5 - I</t>
  </si>
  <si>
    <t>5 - II</t>
  </si>
  <si>
    <t>5 - III</t>
  </si>
  <si>
    <t>5 - IV</t>
  </si>
  <si>
    <t>5 - V</t>
  </si>
  <si>
    <t>5 - VI</t>
  </si>
  <si>
    <t>PRODUTIVIDADE FISCAL</t>
  </si>
  <si>
    <t xml:space="preserve">VALOR </t>
  </si>
  <si>
    <t>Fiscal de Tributos</t>
  </si>
  <si>
    <t>Fiscal de Posturas</t>
  </si>
  <si>
    <t xml:space="preserve">Fiscal de Obras </t>
  </si>
  <si>
    <t>Fiscal de Sistema Viário</t>
  </si>
  <si>
    <t>Fiscal do Meio Ambiente</t>
  </si>
  <si>
    <t>CARGO EM COMISSÃO E FUNÇÃO GRATIFICADA</t>
  </si>
  <si>
    <t>SÍMBOLO</t>
  </si>
  <si>
    <t>VLR DO SÍMBOLO</t>
  </si>
  <si>
    <t>T. I.</t>
  </si>
  <si>
    <t>T.I.</t>
  </si>
  <si>
    <t>T.T.C.</t>
  </si>
  <si>
    <t>Sub TOTAL</t>
  </si>
  <si>
    <t>VLR Aux Transp.</t>
  </si>
  <si>
    <t xml:space="preserve">VLR </t>
  </si>
  <si>
    <t>Vlr</t>
  </si>
  <si>
    <t>Abono</t>
  </si>
  <si>
    <t>Total</t>
  </si>
  <si>
    <t>Refeição</t>
  </si>
  <si>
    <t>BRUTO</t>
  </si>
  <si>
    <t>SM</t>
  </si>
  <si>
    <t>**</t>
  </si>
  <si>
    <t>SS</t>
  </si>
  <si>
    <t>*</t>
  </si>
  <si>
    <t>DG</t>
  </si>
  <si>
    <t>CC1</t>
  </si>
  <si>
    <t>CC2</t>
  </si>
  <si>
    <t>CC3</t>
  </si>
  <si>
    <t>CC4*</t>
  </si>
  <si>
    <t>CC5*</t>
  </si>
  <si>
    <t>CC6*</t>
  </si>
  <si>
    <t>FG1**</t>
  </si>
  <si>
    <t>FG2**</t>
  </si>
  <si>
    <t>FG3**</t>
  </si>
  <si>
    <t>FG4**</t>
  </si>
  <si>
    <t>* Remuneração complementada para o salário mínimo.</t>
  </si>
  <si>
    <t>** A função gratificada somente é designado servidor efetivo, o tempo integral é calculado</t>
  </si>
  <si>
    <t>sobre o vencimento do cargo efetivo.</t>
  </si>
  <si>
    <t>Nota:  O servidor efetivo nomeado para cargo em comissão (símbolos DG, CC1, CC2 e outros), em caso de</t>
  </si>
  <si>
    <t>opção receberá 2/3 do valor do símbolo, neste caso o tempo integral será calculado sobre o vencimento</t>
  </si>
  <si>
    <t>do cargo efetivo, o T.T.C. será sempre o mesmo valor.</t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</si>
  <si>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b/>
        <u/>
        <sz val="12"/>
        <color theme="1"/>
        <rFont val="Calibri"/>
        <family val="2"/>
      </rPr>
      <t>CC5</t>
    </r>
    <r>
      <rPr>
        <b/>
        <sz val="12"/>
        <color theme="1"/>
        <rFont val="Calibri"/>
        <family val="2"/>
      </rPr>
      <t xml:space="preserve"> – 221 </t>
    </r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</si>
  <si>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b/>
        <u/>
        <sz val="12"/>
        <color theme="1"/>
        <rFont val="Calibri"/>
        <family val="2"/>
      </rPr>
      <t>CC4</t>
    </r>
    <r>
      <rPr>
        <b/>
        <sz val="12"/>
        <color theme="1"/>
        <rFont val="Calibri"/>
        <family val="2"/>
      </rPr>
      <t xml:space="preserve">  - 221 </t>
    </r>
  </si>
  <si>
    <t xml:space="preserve">                     - 1800= </t>
  </si>
  <si>
    <t>SALARIO MININO</t>
  </si>
  <si>
    <t>SUBSÍDIOS</t>
  </si>
  <si>
    <t>PREFEITO</t>
  </si>
  <si>
    <t>VICE-PREFEITO</t>
  </si>
  <si>
    <t>SECRETÁRIOS MUNICIPAIS</t>
  </si>
  <si>
    <t>PROCURADOR GERAL</t>
  </si>
  <si>
    <t>VALORES DE PISO SALARIAL</t>
  </si>
  <si>
    <t>PISO</t>
  </si>
  <si>
    <t xml:space="preserve">NÍVEL SUPERIOR </t>
  </si>
  <si>
    <t>MENOR PISO</t>
  </si>
  <si>
    <t>BENEFÍCIOS</t>
  </si>
  <si>
    <t>AUXILIO-TRANSPORTE</t>
  </si>
  <si>
    <t>ABONO-REFEIÇÃO</t>
  </si>
  <si>
    <r>
      <t xml:space="preserve">SALÁRIO-FAMÍLIA </t>
    </r>
    <r>
      <rPr>
        <b/>
        <sz val="7"/>
        <color theme="1"/>
        <rFont val="Calibri"/>
        <family val="2"/>
      </rPr>
      <t>(por dependente)</t>
    </r>
  </si>
  <si>
    <t>TETO REMUNERAÇÃO CONSTITUCIONAL</t>
  </si>
  <si>
    <t>REMUNERAÇÃO LIMITE</t>
  </si>
  <si>
    <t>a partir de 02/2024</t>
  </si>
  <si>
    <t>a partir de 02/2025</t>
  </si>
  <si>
    <t>PROCURADORES</t>
  </si>
  <si>
    <r>
      <t xml:space="preserve">TETO DO PREFEITO </t>
    </r>
    <r>
      <rPr>
        <sz val="9"/>
        <color theme="1"/>
        <rFont val="Calibri"/>
        <family val="2"/>
      </rPr>
      <t>(demais servidores</t>
    </r>
  </si>
  <si>
    <t>SALÁRIO MÍNIMO –MP 1172/2023</t>
  </si>
  <si>
    <t>=TABELA DE VENCIMENTOS – PROCURADORIA=</t>
  </si>
  <si>
    <t xml:space="preserve">  - LEI Nº 3359/2018 (06/07/2018)-</t>
  </si>
  <si>
    <t>GRADUAÇÃO JURIDICA OU ADM.</t>
  </si>
  <si>
    <t>ESPEC. JURÍDICA OU GESTÃO</t>
  </si>
  <si>
    <t>MESTRADO</t>
  </si>
  <si>
    <t>DOUTORADO</t>
  </si>
  <si>
    <t>PÓS DOUTORADO</t>
  </si>
  <si>
    <t>PROCURADOR DO MUNICIPIO</t>
  </si>
  <si>
    <t>ANALISTA DE PROCURADORIA</t>
  </si>
  <si>
    <t>TÉCNICO DE PROCURADORIA</t>
  </si>
  <si>
    <t>QUANTITATIVO</t>
  </si>
  <si>
    <t>GRATIFICAÇÃO DE PROCURADORIA</t>
  </si>
  <si>
    <r>
      <t>ANALISTA DE PROCURADORIA</t>
    </r>
    <r>
      <rPr>
        <b/>
        <sz val="11"/>
        <color theme="1"/>
        <rFont val="Calibri"/>
        <family val="2"/>
      </rPr>
      <t>(ENSINO SUPERIOR COMPLETO)</t>
    </r>
  </si>
  <si>
    <r>
      <t>TECNICO DE PROCURADORIA</t>
    </r>
    <r>
      <rPr>
        <b/>
        <sz val="11"/>
        <color theme="1"/>
        <rFont val="Calibri"/>
        <family val="2"/>
      </rPr>
      <t>(ENSINO MEDIO COMPLETO)</t>
    </r>
  </si>
  <si>
    <r>
      <t xml:space="preserve">TÉCNICO DE PROCURADORIA </t>
    </r>
    <r>
      <rPr>
        <b/>
        <sz val="11"/>
        <color theme="1"/>
        <rFont val="Calibri"/>
        <family val="2"/>
      </rPr>
      <t>(ENSINO MÉDIO COMPLETO)</t>
    </r>
  </si>
  <si>
    <t>CLASSE</t>
  </si>
  <si>
    <t>PROCURADOR</t>
  </si>
  <si>
    <t>CLASSES</t>
  </si>
  <si>
    <t>VENCIMENTOS</t>
  </si>
  <si>
    <t>CLASSE III – CATEGORIA II</t>
  </si>
  <si>
    <t>CLASSE III – CATEGORIA I</t>
  </si>
  <si>
    <t>CLASSE II – CATEGORIA II</t>
  </si>
  <si>
    <t>CLASSE II – CATEGORIA I</t>
  </si>
  <si>
    <t>CLASSE I</t>
  </si>
  <si>
    <r>
      <t xml:space="preserve">                            </t>
    </r>
    <r>
      <rPr>
        <b/>
        <sz val="12"/>
        <color theme="1"/>
        <rFont val="Calibri"/>
        <family val="2"/>
        <scheme val="minor"/>
      </rPr>
      <t xml:space="preserve">  VENCIMENTO - AUDITOR MUNICIPAL E ANALISTA DE POLITICAS PUBLICAS</t>
    </r>
  </si>
  <si>
    <t>D</t>
  </si>
  <si>
    <t>AUDITOR MUNICIPAL DE CONTROLE INTERNO</t>
  </si>
  <si>
    <t>AMCI</t>
  </si>
  <si>
    <t xml:space="preserve">LEI N° 3.704 DE 19 DE MAIO 2022 </t>
  </si>
  <si>
    <t>CARGOS EM COMISSÃO DO TÉCNICO DE INFORMAÇÃO E COMUNICAÇÃO (TIC)</t>
  </si>
  <si>
    <t>VALOR DO SÍMBOLO</t>
  </si>
  <si>
    <t>TOTAL BRUTO</t>
  </si>
  <si>
    <t xml:space="preserve">TIC 1 </t>
  </si>
  <si>
    <t>100% - 7.053,75</t>
  </si>
  <si>
    <t>TIC 2</t>
  </si>
  <si>
    <t>100% - 4.774,84</t>
  </si>
  <si>
    <t>50% - 2.387,42</t>
  </si>
  <si>
    <t>TIC  3</t>
  </si>
  <si>
    <t>100% - 3.906,91</t>
  </si>
  <si>
    <t>50% - 1.953,46</t>
  </si>
  <si>
    <t>TIC  4</t>
  </si>
  <si>
    <t>100% - 3.038,54</t>
  </si>
  <si>
    <t>50% - 1.519,27</t>
  </si>
  <si>
    <t>TIC 5</t>
  </si>
  <si>
    <t>100% - 1.736,30</t>
  </si>
  <si>
    <t>50% - 868,15</t>
  </si>
  <si>
    <t>CARGOS EM COMISSÃO ASSESSOR ESPECIAL 1 E 2</t>
  </si>
  <si>
    <t>AE1</t>
  </si>
  <si>
    <t>100% - 4.006,53</t>
  </si>
  <si>
    <t>50% - 2.003,27</t>
  </si>
  <si>
    <t>AE2</t>
  </si>
  <si>
    <t>100% - 2.370,06</t>
  </si>
  <si>
    <t>50% - 1.185,03</t>
  </si>
  <si>
    <t>PROJETO DE LEI N° 071 DE 21 DE JUNHO DE 2023</t>
  </si>
  <si>
    <t xml:space="preserve">   CONTADOR SMF - ANEXO II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</si>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</sst>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u/>
      <sz val="12"/>
      <color theme="1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b/>
      <sz val="12"/>
      <color rgb="FF548DD4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i/>
      <u/>
      <sz val="14"/>
      <color theme="1"/>
      <name val="Calibri"/>
      <family val="2"/>
    </font>
    <font>
      <b/>
      <sz val="13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sz val="12"/>
      <color rgb="FFFF0000"/>
      <name val="Symbol"/>
      <family val="1"/>
      <charset val="2"/>
    </font>
    <font>
      <sz val="7"/>
      <color rgb="FFFF0000"/>
      <name val="Times New Roman"/>
      <family val="1"/>
    </font>
    <font>
      <sz val="12"/>
      <color rgb="FFFF0000"/>
      <name val="Simplified Arabic Fixed"/>
      <family val="3"/>
    </font>
    <font>
      <sz val="11"/>
      <color theme="1"/>
      <name val="Calibri"/>
      <family val="2"/>
    </font>
    <font>
      <b/>
      <sz val="7"/>
      <color theme="1"/>
      <name val="Calibri"/>
      <family val="2"/>
    </font>
    <font>
      <sz val="9"/>
      <color theme="1"/>
      <name val="Calibri"/>
      <family val="2"/>
    </font>
    <font>
      <b/>
      <u/>
      <sz val="12"/>
      <color rgb="FFFF0000"/>
      <name val="Calibri"/>
      <family val="2"/>
    </font>
    <font>
      <b/>
      <u/>
      <sz val="14"/>
      <color theme="1"/>
      <name val="Times New Roman"/>
      <family val="1"/>
    </font>
    <font>
      <b/>
      <u/>
      <sz val="14"/>
      <color theme="1"/>
      <name val="Calibri"/>
      <family val="2"/>
    </font>
    <font>
      <b/>
      <sz val="14"/>
      <color rgb="FFFF0000"/>
      <name val="Calibri"/>
      <family val="2"/>
    </font>
    <font>
      <sz val="16"/>
      <color theme="1"/>
      <name val="Calibri"/>
      <family val="2"/>
    </font>
    <font>
      <b/>
      <sz val="14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4" fontId="6" fillId="3" borderId="3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4" fontId="6" fillId="0" borderId="3" xfId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9" fontId="17" fillId="0" borderId="3" xfId="0" applyNumberFormat="1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2" fontId="0" fillId="0" borderId="0" xfId="0" applyNumberFormat="1"/>
    <xf numFmtId="0" fontId="13" fillId="0" borderId="0" xfId="0" applyFont="1" applyAlignment="1">
      <alignment vertical="center"/>
    </xf>
    <xf numFmtId="0" fontId="18" fillId="0" borderId="0" xfId="0" applyFont="1" applyAlignment="1">
      <alignment horizontal="left" vertical="center" indent="5"/>
    </xf>
    <xf numFmtId="4" fontId="0" fillId="0" borderId="0" xfId="0" applyNumberForma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left" vertical="center" indent="5"/>
    </xf>
    <xf numFmtId="0" fontId="13" fillId="2" borderId="3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17" fontId="5" fillId="3" borderId="3" xfId="0" applyNumberFormat="1" applyFont="1" applyFill="1" applyBorder="1" applyAlignment="1">
      <alignment horizontal="center" vertical="center" wrapText="1"/>
    </xf>
    <xf numFmtId="17" fontId="5" fillId="0" borderId="3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" fontId="27" fillId="0" borderId="7" xfId="0" applyNumberFormat="1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1" xfId="0" applyFont="1" applyBorder="1" applyAlignment="1">
      <alignment vertical="center" wrapText="1"/>
    </xf>
    <xf numFmtId="0" fontId="28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9" fillId="0" borderId="0" xfId="0" applyFont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 wrapText="1"/>
    </xf>
    <xf numFmtId="0" fontId="0" fillId="8" borderId="28" xfId="0" applyFill="1" applyBorder="1"/>
    <xf numFmtId="0" fontId="0" fillId="8" borderId="29" xfId="0" applyFill="1" applyBorder="1"/>
    <xf numFmtId="4" fontId="6" fillId="0" borderId="15" xfId="0" applyNumberFormat="1" applyFont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30" fillId="0" borderId="32" xfId="0" applyFont="1" applyBorder="1"/>
    <xf numFmtId="0" fontId="30" fillId="0" borderId="7" xfId="0" applyFont="1" applyBorder="1"/>
    <xf numFmtId="0" fontId="0" fillId="9" borderId="0" xfId="0" applyFill="1"/>
    <xf numFmtId="0" fontId="30" fillId="9" borderId="0" xfId="0" applyFont="1" applyFill="1"/>
    <xf numFmtId="9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9" fontId="5" fillId="3" borderId="32" xfId="0" applyNumberFormat="1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9" fontId="5" fillId="11" borderId="3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center" vertical="center" wrapText="1"/>
    </xf>
    <xf numFmtId="4" fontId="27" fillId="0" borderId="0" xfId="0" applyNumberFormat="1" applyFont="1" applyAlignment="1">
      <alignment horizontal="center" vertical="center" wrapText="1"/>
    </xf>
    <xf numFmtId="0" fontId="30" fillId="10" borderId="37" xfId="0" applyFont="1" applyFill="1" applyBorder="1" applyAlignment="1">
      <alignment horizontal="center" vertical="center"/>
    </xf>
    <xf numFmtId="0" fontId="30" fillId="10" borderId="35" xfId="0" applyFont="1" applyFill="1" applyBorder="1" applyAlignment="1">
      <alignment horizontal="center" vertical="center"/>
    </xf>
    <xf numFmtId="0" fontId="30" fillId="10" borderId="36" xfId="0" applyFont="1" applyFill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8" fontId="33" fillId="0" borderId="34" xfId="0" applyNumberFormat="1" applyFont="1" applyBorder="1" applyAlignment="1">
      <alignment horizontal="center" vertical="center"/>
    </xf>
    <xf numFmtId="8" fontId="34" fillId="0" borderId="34" xfId="0" applyNumberFormat="1" applyFont="1" applyBorder="1" applyAlignment="1">
      <alignment horizontal="center" vertical="center"/>
    </xf>
    <xf numFmtId="9" fontId="34" fillId="0" borderId="34" xfId="0" applyNumberFormat="1" applyFont="1" applyBorder="1" applyAlignment="1">
      <alignment horizontal="center" vertical="center"/>
    </xf>
    <xf numFmtId="8" fontId="34" fillId="0" borderId="42" xfId="0" applyNumberFormat="1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8" fontId="33" fillId="0" borderId="4" xfId="0" applyNumberFormat="1" applyFont="1" applyBorder="1" applyAlignment="1">
      <alignment horizontal="center" vertical="center"/>
    </xf>
    <xf numFmtId="8" fontId="34" fillId="0" borderId="4" xfId="0" applyNumberFormat="1" applyFont="1" applyBorder="1" applyAlignment="1">
      <alignment horizontal="center" vertical="center"/>
    </xf>
    <xf numFmtId="9" fontId="34" fillId="0" borderId="4" xfId="0" applyNumberFormat="1" applyFont="1" applyBorder="1" applyAlignment="1">
      <alignment horizontal="center" vertical="center"/>
    </xf>
    <xf numFmtId="8" fontId="34" fillId="0" borderId="44" xfId="0" applyNumberFormat="1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8" fontId="33" fillId="0" borderId="46" xfId="0" applyNumberFormat="1" applyFont="1" applyBorder="1" applyAlignment="1">
      <alignment horizontal="center" vertical="center"/>
    </xf>
    <xf numFmtId="9" fontId="34" fillId="0" borderId="46" xfId="0" applyNumberFormat="1" applyFont="1" applyBorder="1" applyAlignment="1">
      <alignment horizontal="center" vertical="center"/>
    </xf>
    <xf numFmtId="8" fontId="34" fillId="0" borderId="47" xfId="0" applyNumberFormat="1" applyFont="1" applyBorder="1" applyAlignment="1">
      <alignment horizontal="center" vertical="center"/>
    </xf>
    <xf numFmtId="0" fontId="30" fillId="10" borderId="41" xfId="0" applyFont="1" applyFill="1" applyBorder="1" applyAlignment="1">
      <alignment horizontal="center" vertical="center"/>
    </xf>
    <xf numFmtId="0" fontId="30" fillId="10" borderId="34" xfId="0" applyFont="1" applyFill="1" applyBorder="1" applyAlignment="1">
      <alignment horizontal="center" vertical="center"/>
    </xf>
    <xf numFmtId="0" fontId="30" fillId="10" borderId="42" xfId="0" applyFont="1" applyFill="1" applyBorder="1" applyAlignment="1">
      <alignment horizontal="center" vertical="center"/>
    </xf>
    <xf numFmtId="8" fontId="34" fillId="0" borderId="46" xfId="0" applyNumberFormat="1" applyFont="1" applyBorder="1" applyAlignment="1">
      <alignment horizontal="center" vertical="center"/>
    </xf>
    <xf numFmtId="4" fontId="17" fillId="7" borderId="3" xfId="0" applyNumberFormat="1" applyFont="1" applyFill="1" applyBorder="1" applyAlignment="1">
      <alignment horizontal="center" vertical="center" wrapText="1"/>
    </xf>
    <xf numFmtId="2" fontId="17" fillId="7" borderId="3" xfId="0" applyNumberFormat="1" applyFont="1" applyFill="1" applyBorder="1" applyAlignment="1">
      <alignment horizontal="center" vertical="center" wrapText="1"/>
    </xf>
    <xf numFmtId="4" fontId="13" fillId="7" borderId="3" xfId="0" applyNumberFormat="1" applyFont="1" applyFill="1" applyBorder="1" applyAlignment="1">
      <alignment horizontal="center" vertical="center" wrapText="1"/>
    </xf>
    <xf numFmtId="4" fontId="30" fillId="10" borderId="37" xfId="0" applyNumberFormat="1" applyFont="1" applyFill="1" applyBorder="1"/>
    <xf numFmtId="4" fontId="30" fillId="10" borderId="36" xfId="0" applyNumberFormat="1" applyFont="1" applyFill="1" applyBorder="1"/>
    <xf numFmtId="0" fontId="5" fillId="0" borderId="0" xfId="0" applyFont="1" applyAlignment="1">
      <alignment vertical="center" wrapText="1"/>
    </xf>
    <xf numFmtId="4" fontId="6" fillId="10" borderId="3" xfId="0" applyNumberFormat="1" applyFont="1" applyFill="1" applyBorder="1" applyAlignment="1">
      <alignment horizontal="center" vertical="center" wrapText="1"/>
    </xf>
    <xf numFmtId="9" fontId="34" fillId="7" borderId="4" xfId="0" applyNumberFormat="1" applyFont="1" applyFill="1" applyBorder="1" applyAlignment="1">
      <alignment horizontal="center" vertical="center"/>
    </xf>
    <xf numFmtId="8" fontId="34" fillId="7" borderId="44" xfId="0" applyNumberFormat="1" applyFont="1" applyFill="1" applyBorder="1" applyAlignment="1">
      <alignment horizontal="center" vertical="center"/>
    </xf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44" fontId="6" fillId="7" borderId="3" xfId="1" applyFont="1" applyFill="1" applyBorder="1" applyAlignment="1">
      <alignment horizontal="center" vertical="center" wrapText="1"/>
    </xf>
    <xf numFmtId="4" fontId="6" fillId="7" borderId="23" xfId="0" applyNumberFormat="1" applyFont="1" applyFill="1" applyBorder="1" applyAlignment="1">
      <alignment horizontal="right" vertical="center" wrapText="1"/>
    </xf>
    <xf numFmtId="8" fontId="33" fillId="0" borderId="48" xfId="0" applyNumberFormat="1" applyFont="1" applyBorder="1" applyAlignment="1">
      <alignment horizontal="center" vertical="center"/>
    </xf>
    <xf numFmtId="0" fontId="0" fillId="0" borderId="48" xfId="0" applyBorder="1"/>
    <xf numFmtId="0" fontId="32" fillId="0" borderId="0" xfId="0" applyFont="1" applyAlignment="1">
      <alignment horizontal="center" vertical="center"/>
    </xf>
    <xf numFmtId="8" fontId="33" fillId="0" borderId="49" xfId="0" applyNumberFormat="1" applyFont="1" applyBorder="1" applyAlignment="1">
      <alignment horizontal="center" vertical="center"/>
    </xf>
    <xf numFmtId="9" fontId="34" fillId="7" borderId="48" xfId="0" applyNumberFormat="1" applyFont="1" applyFill="1" applyBorder="1" applyAlignment="1">
      <alignment horizontal="center" vertical="center"/>
    </xf>
    <xf numFmtId="8" fontId="34" fillId="0" borderId="0" xfId="0" applyNumberFormat="1" applyFont="1" applyAlignment="1">
      <alignment horizontal="center" vertical="center"/>
    </xf>
    <xf numFmtId="9" fontId="34" fillId="0" borderId="0" xfId="0" applyNumberFormat="1" applyFont="1" applyAlignment="1">
      <alignment horizontal="center" vertical="center"/>
    </xf>
    <xf numFmtId="9" fontId="34" fillId="0" borderId="50" xfId="0" applyNumberFormat="1" applyFont="1" applyBorder="1" applyAlignment="1">
      <alignment horizontal="center" vertical="center"/>
    </xf>
    <xf numFmtId="8" fontId="34" fillId="0" borderId="51" xfId="0" applyNumberFormat="1" applyFont="1" applyBorder="1" applyAlignment="1">
      <alignment horizontal="center" vertical="center"/>
    </xf>
    <xf numFmtId="9" fontId="34" fillId="0" borderId="52" xfId="0" applyNumberFormat="1" applyFont="1" applyBorder="1" applyAlignment="1">
      <alignment horizontal="center" vertical="center"/>
    </xf>
    <xf numFmtId="0" fontId="0" fillId="0" borderId="49" xfId="0" applyBorder="1"/>
    <xf numFmtId="0" fontId="0" fillId="0" borderId="31" xfId="0" applyBorder="1"/>
    <xf numFmtId="8" fontId="34" fillId="0" borderId="31" xfId="0" applyNumberFormat="1" applyFont="1" applyBorder="1" applyAlignment="1">
      <alignment horizontal="center" vertical="center"/>
    </xf>
    <xf numFmtId="9" fontId="34" fillId="0" borderId="2" xfId="0" applyNumberFormat="1" applyFont="1" applyBorder="1" applyAlignment="1">
      <alignment horizontal="center" vertical="center"/>
    </xf>
    <xf numFmtId="9" fontId="34" fillId="0" borderId="53" xfId="0" applyNumberFormat="1" applyFont="1" applyBorder="1" applyAlignment="1">
      <alignment horizontal="center" vertical="center"/>
    </xf>
    <xf numFmtId="9" fontId="34" fillId="0" borderId="54" xfId="0" applyNumberFormat="1" applyFont="1" applyBorder="1" applyAlignment="1">
      <alignment horizontal="center" vertical="center"/>
    </xf>
    <xf numFmtId="9" fontId="34" fillId="0" borderId="31" xfId="0" applyNumberFormat="1" applyFont="1" applyBorder="1" applyAlignment="1">
      <alignment horizontal="center" vertical="center"/>
    </xf>
    <xf numFmtId="8" fontId="34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/>
    </xf>
    <xf numFmtId="0" fontId="0" fillId="0" borderId="2" xfId="0" applyBorder="1"/>
    <xf numFmtId="8" fontId="34" fillId="10" borderId="1" xfId="0" applyNumberFormat="1" applyFont="1" applyFill="1" applyBorder="1" applyAlignment="1">
      <alignment horizontal="center" vertical="center"/>
    </xf>
    <xf numFmtId="9" fontId="34" fillId="10" borderId="50" xfId="0" applyNumberFormat="1" applyFont="1" applyFill="1" applyBorder="1" applyAlignment="1">
      <alignment horizontal="center" vertical="center"/>
    </xf>
    <xf numFmtId="8" fontId="34" fillId="10" borderId="51" xfId="0" applyNumberFormat="1" applyFont="1" applyFill="1" applyBorder="1" applyAlignment="1">
      <alignment horizontal="center" vertical="center"/>
    </xf>
    <xf numFmtId="8" fontId="34" fillId="10" borderId="31" xfId="0" applyNumberFormat="1" applyFont="1" applyFill="1" applyBorder="1" applyAlignment="1">
      <alignment horizontal="center" vertical="center"/>
    </xf>
    <xf numFmtId="9" fontId="34" fillId="10" borderId="48" xfId="0" applyNumberFormat="1" applyFont="1" applyFill="1" applyBorder="1" applyAlignment="1">
      <alignment horizontal="center" vertical="center"/>
    </xf>
    <xf numFmtId="8" fontId="34" fillId="10" borderId="44" xfId="0" applyNumberFormat="1" applyFont="1" applyFill="1" applyBorder="1" applyAlignment="1">
      <alignment horizontal="center" vertical="center"/>
    </xf>
    <xf numFmtId="9" fontId="34" fillId="10" borderId="2" xfId="0" applyNumberFormat="1" applyFont="1" applyFill="1" applyBorder="1" applyAlignment="1">
      <alignment horizontal="center" vertical="center"/>
    </xf>
    <xf numFmtId="9" fontId="34" fillId="10" borderId="52" xfId="0" applyNumberFormat="1" applyFont="1" applyFill="1" applyBorder="1" applyAlignment="1">
      <alignment horizontal="center" vertical="center"/>
    </xf>
    <xf numFmtId="8" fontId="34" fillId="10" borderId="47" xfId="0" applyNumberFormat="1" applyFont="1" applyFill="1" applyBorder="1" applyAlignment="1">
      <alignment horizontal="center" vertical="center"/>
    </xf>
    <xf numFmtId="8" fontId="33" fillId="0" borderId="0" xfId="0" applyNumberFormat="1" applyFont="1" applyAlignment="1">
      <alignment horizontal="center" vertical="center"/>
    </xf>
    <xf numFmtId="8" fontId="34" fillId="0" borderId="55" xfId="0" applyNumberFormat="1" applyFont="1" applyBorder="1" applyAlignment="1">
      <alignment horizontal="center" vertical="center"/>
    </xf>
    <xf numFmtId="0" fontId="30" fillId="10" borderId="28" xfId="0" applyFont="1" applyFill="1" applyBorder="1" applyAlignment="1">
      <alignment horizontal="center" vertical="center"/>
    </xf>
    <xf numFmtId="0" fontId="30" fillId="7" borderId="32" xfId="0" applyFont="1" applyFill="1" applyBorder="1" applyAlignment="1">
      <alignment horizontal="center" vertical="center"/>
    </xf>
    <xf numFmtId="0" fontId="30" fillId="7" borderId="29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10" borderId="38" xfId="0" applyFont="1" applyFill="1" applyBorder="1" applyAlignment="1">
      <alignment horizontal="center" vertical="center"/>
    </xf>
    <xf numFmtId="0" fontId="30" fillId="10" borderId="39" xfId="0" applyFont="1" applyFill="1" applyBorder="1" applyAlignment="1">
      <alignment horizontal="center" vertical="center"/>
    </xf>
    <xf numFmtId="0" fontId="30" fillId="10" borderId="40" xfId="0" applyFont="1" applyFill="1" applyBorder="1" applyAlignment="1">
      <alignment horizontal="center" vertical="center"/>
    </xf>
    <xf numFmtId="0" fontId="31" fillId="10" borderId="37" xfId="0" applyFont="1" applyFill="1" applyBorder="1" applyAlignment="1">
      <alignment horizontal="center" vertical="center"/>
    </xf>
    <xf numFmtId="0" fontId="30" fillId="10" borderId="35" xfId="0" applyFont="1" applyFill="1" applyBorder="1" applyAlignment="1">
      <alignment horizontal="center" vertical="center"/>
    </xf>
    <xf numFmtId="0" fontId="30" fillId="10" borderId="3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44" fontId="6" fillId="3" borderId="2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885823</xdr:colOff>
      <xdr:row>0</xdr:row>
      <xdr:rowOff>0</xdr:rowOff>
    </xdr:from>
    <xdr:to>
      <xdr:col>4</xdr:col>
      <xdr:colOff>790574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668975-A031-49E9-9673-F41550DA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3" y="0"/>
          <a:ext cx="1028701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8E93-9858-4CE0-BA07-241ED7B2BF2B}">
  <dimension ref="A5:L358"/>
  <sheetViews>
    <sheetView tabSelected="1" workbookViewId="0">
      <selection activeCell="F10" sqref="F10"/>
    </sheetView>
  </sheetViews>
  <sheetFormatPr defaultRowHeight="15"/>
  <cols>
    <col min="2" max="2" width="38" customWidth="1"/>
    <col min="3" max="3" width="38" hidden="1" customWidth="1"/>
    <col min="4" max="4" width="16.85546875" customWidth="1"/>
    <col min="5" max="5" width="19" customWidth="1"/>
    <col min="6" max="6" width="17" customWidth="1"/>
    <col min="7" max="7" width="15.5703125" customWidth="1"/>
    <col min="8" max="8" width="12.85546875" customWidth="1"/>
    <col min="9" max="9" width="10.5703125" bestFit="1" customWidth="1"/>
  </cols>
  <sheetData>
    <row r="5" spans="1:9">
      <c r="A5" s="214" t="s">
        <v>0</v>
      </c>
      <c r="B5" s="214"/>
      <c r="C5" s="214"/>
      <c r="D5" s="214"/>
      <c r="E5" s="214"/>
      <c r="F5" s="214"/>
      <c r="G5" s="214"/>
      <c r="H5" s="214"/>
    </row>
    <row r="6" spans="1:9">
      <c r="A6" s="215" t="s">
        <v>1</v>
      </c>
      <c r="B6" s="215"/>
      <c r="C6" s="215"/>
      <c r="D6" s="215"/>
      <c r="E6" s="215"/>
      <c r="F6" s="215"/>
      <c r="G6" s="215"/>
      <c r="H6" s="215"/>
    </row>
    <row r="7" spans="1:9" ht="15" customHeight="1">
      <c r="A7" s="1"/>
      <c r="B7" s="1"/>
      <c r="C7" s="1"/>
      <c r="D7" s="1"/>
      <c r="E7" s="1"/>
      <c r="F7" s="1"/>
      <c r="G7" s="1"/>
      <c r="H7" s="1"/>
    </row>
    <row r="8" spans="1:9" ht="15" customHeight="1">
      <c r="A8" s="219" t="s">
        <v>2</v>
      </c>
      <c r="B8" s="219"/>
      <c r="C8" s="219"/>
      <c r="D8" s="219"/>
      <c r="E8" s="219"/>
      <c r="F8" s="219"/>
      <c r="G8" s="219"/>
    </row>
    <row r="10" spans="1:9" ht="15" customHeight="1">
      <c r="A10" s="2"/>
      <c r="B10" s="2" t="s">
        <v>3</v>
      </c>
      <c r="C10" s="2"/>
      <c r="D10" s="3">
        <v>4.4999999999999998E-2</v>
      </c>
      <c r="E10" s="91">
        <v>1.0449999999999999</v>
      </c>
      <c r="F10" s="3"/>
      <c r="G10" s="2"/>
    </row>
    <row r="11" spans="1:9" ht="15" hidden="1" customHeight="1">
      <c r="A11" s="2"/>
      <c r="B11" s="2" t="s">
        <v>3</v>
      </c>
      <c r="C11" s="2"/>
      <c r="D11" s="3">
        <v>0.10106</v>
      </c>
      <c r="E11" s="2"/>
      <c r="F11" s="2"/>
      <c r="G11" s="2"/>
    </row>
    <row r="12" spans="1:9" ht="15.75" thickBot="1"/>
    <row r="13" spans="1:9" ht="33.75" customHeight="1">
      <c r="B13" s="220" t="s">
        <v>4</v>
      </c>
      <c r="C13" s="4"/>
      <c r="D13" s="222">
        <f>833.5794942*E10</f>
        <v>871.09057143899997</v>
      </c>
      <c r="E13" s="5"/>
      <c r="F13" s="5"/>
      <c r="I13" s="5"/>
    </row>
    <row r="14" spans="1:9" ht="15" customHeight="1" thickBot="1">
      <c r="B14" s="221"/>
      <c r="C14" s="6"/>
      <c r="D14" s="223"/>
    </row>
    <row r="15" spans="1:9" ht="54.75" customHeight="1" thickBot="1">
      <c r="B15" s="6" t="s">
        <v>5</v>
      </c>
      <c r="C15" s="7"/>
      <c r="D15" s="8">
        <f>1074.8878038*E10</f>
        <v>1123.2577549709999</v>
      </c>
      <c r="E15" t="s">
        <v>6</v>
      </c>
    </row>
    <row r="19" spans="2:8" ht="16.5" thickBot="1">
      <c r="B19" s="224" t="s">
        <v>7</v>
      </c>
      <c r="C19" s="224"/>
      <c r="D19" s="224"/>
      <c r="E19" s="224"/>
      <c r="F19" s="224"/>
      <c r="G19" s="224"/>
      <c r="H19" s="224"/>
    </row>
    <row r="20" spans="2:8" ht="15" customHeight="1" thickBot="1">
      <c r="B20" s="225" t="s">
        <v>8</v>
      </c>
      <c r="C20" s="226"/>
      <c r="D20" s="227"/>
      <c r="E20" s="9" t="s">
        <v>9</v>
      </c>
      <c r="F20" s="9" t="s">
        <v>10</v>
      </c>
      <c r="G20" s="9" t="s">
        <v>11</v>
      </c>
      <c r="H20" s="9" t="s">
        <v>12</v>
      </c>
    </row>
    <row r="21" spans="2:8" ht="16.5" thickBot="1">
      <c r="B21" s="228" t="s">
        <v>13</v>
      </c>
      <c r="C21" s="229"/>
      <c r="D21" s="230"/>
      <c r="E21" s="9">
        <f>2653.66*E10</f>
        <v>2773.0746999999997</v>
      </c>
      <c r="F21" s="9">
        <f>2733.27*E10</f>
        <v>2856.2671499999997</v>
      </c>
      <c r="G21" s="9">
        <f>2815.27*E10</f>
        <v>2941.9571499999997</v>
      </c>
      <c r="H21" s="9">
        <f>2899.73*E10</f>
        <v>3030.21785</v>
      </c>
    </row>
    <row r="22" spans="2:8" ht="16.5" thickBot="1">
      <c r="B22" s="228" t="s">
        <v>14</v>
      </c>
      <c r="C22" s="229"/>
      <c r="D22" s="230"/>
      <c r="E22" s="9">
        <f>3044.72*E10</f>
        <v>3181.7323999999994</v>
      </c>
      <c r="F22" s="9">
        <f>3136.05*E10</f>
        <v>3277.1722500000001</v>
      </c>
      <c r="G22" s="9">
        <f>3230.13*E10</f>
        <v>3375.48585</v>
      </c>
      <c r="H22" s="9">
        <f>3327.05*E10</f>
        <v>3476.7672499999999</v>
      </c>
    </row>
    <row r="23" spans="2:8" ht="16.5" thickBot="1">
      <c r="B23" s="228" t="s">
        <v>15</v>
      </c>
      <c r="C23" s="229"/>
      <c r="D23" s="230"/>
      <c r="E23" s="9">
        <f>3493.39*E10</f>
        <v>3650.5925499999994</v>
      </c>
      <c r="F23" s="9">
        <v>3598.19</v>
      </c>
      <c r="G23" s="9">
        <f>3706.14*E10</f>
        <v>3872.9162999999994</v>
      </c>
      <c r="H23" s="9">
        <f>3817.32*E10</f>
        <v>3989.0994000000001</v>
      </c>
    </row>
    <row r="24" spans="2:8" ht="12" customHeight="1"/>
    <row r="26" spans="2:8" ht="15.75" thickBot="1"/>
    <row r="27" spans="2:8" ht="16.5" thickBot="1">
      <c r="B27" s="207" t="s">
        <v>16</v>
      </c>
      <c r="C27" s="208"/>
      <c r="D27" s="208"/>
      <c r="E27" s="208"/>
      <c r="F27" s="208"/>
      <c r="G27" s="208"/>
      <c r="H27" s="209"/>
    </row>
    <row r="28" spans="2:8" ht="16.5" thickBot="1">
      <c r="B28" s="231" t="s">
        <v>17</v>
      </c>
      <c r="C28" s="232"/>
      <c r="D28" s="233"/>
      <c r="E28" s="231" t="s">
        <v>18</v>
      </c>
      <c r="F28" s="233"/>
      <c r="G28" s="231" t="s">
        <v>19</v>
      </c>
      <c r="H28" s="233"/>
    </row>
    <row r="29" spans="2:8" ht="16.5" thickBot="1">
      <c r="B29" s="13" t="s">
        <v>20</v>
      </c>
      <c r="C29" s="14"/>
      <c r="D29" s="15">
        <f>1083.6412308*E10</f>
        <v>1132.4050861859998</v>
      </c>
      <c r="E29" s="14" t="s">
        <v>20</v>
      </c>
      <c r="F29" s="16">
        <f>1415.9521494*E10</f>
        <v>1479.6699961229999</v>
      </c>
      <c r="G29" s="14" t="s">
        <v>20</v>
      </c>
      <c r="H29" s="16">
        <f>1850.1771816*E10</f>
        <v>1933.4351547719998</v>
      </c>
    </row>
    <row r="30" spans="2:8" ht="16.5" thickBot="1">
      <c r="B30" s="13" t="s">
        <v>21</v>
      </c>
      <c r="C30" s="14"/>
      <c r="D30" s="15">
        <f>1137.8133828*E10</f>
        <v>1189.014985026</v>
      </c>
      <c r="E30" s="14" t="s">
        <v>21</v>
      </c>
      <c r="F30" s="16">
        <f>1486.7833392*E10</f>
        <v>1553.688589464</v>
      </c>
      <c r="G30" s="14" t="s">
        <v>21</v>
      </c>
      <c r="H30" s="16">
        <f>1942.6882428*E10</f>
        <v>2030.1092137259998</v>
      </c>
    </row>
    <row r="31" spans="2:8" ht="16.5" thickBot="1">
      <c r="B31" s="13" t="s">
        <v>22</v>
      </c>
      <c r="C31" s="14"/>
      <c r="D31" s="15">
        <f>1194.6941424*E10</f>
        <v>1248.4553788079998</v>
      </c>
      <c r="E31" s="14" t="s">
        <v>22</v>
      </c>
      <c r="F31" s="16">
        <f>1561.0718574*E10</f>
        <v>1631.320090983</v>
      </c>
      <c r="G31" s="14" t="s">
        <v>22</v>
      </c>
      <c r="H31" s="16">
        <f>2039.8127454*E10</f>
        <v>2131.6043189429997</v>
      </c>
    </row>
    <row r="32" spans="2:8" ht="16.5" thickBot="1">
      <c r="B32" s="13" t="s">
        <v>23</v>
      </c>
      <c r="C32" s="14"/>
      <c r="D32" s="15">
        <f>1254.437658*E10</f>
        <v>1310.8873526099999</v>
      </c>
      <c r="E32" s="14" t="s">
        <v>23</v>
      </c>
      <c r="F32" s="16">
        <f>1639.1370114*E10</f>
        <v>1712.8981769129998</v>
      </c>
      <c r="G32" s="14" t="s">
        <v>23</v>
      </c>
      <c r="H32" s="16">
        <f>2141.8259544*E10</f>
        <v>2238.2081223479995</v>
      </c>
    </row>
    <row r="33" spans="2:8" ht="16.5" thickBot="1">
      <c r="B33" s="13" t="s">
        <v>24</v>
      </c>
      <c r="C33" s="14"/>
      <c r="D33" s="15">
        <f>1317.1760568*E10</f>
        <v>1376.4489793559999</v>
      </c>
      <c r="E33" s="14" t="s">
        <v>24</v>
      </c>
      <c r="F33" s="16">
        <f>1721.1109284*E10</f>
        <v>1798.5609201779998</v>
      </c>
      <c r="G33" s="14" t="s">
        <v>24</v>
      </c>
      <c r="H33" s="16">
        <f>2248.9260606*E10</f>
        <v>2350.1277333269995</v>
      </c>
    </row>
    <row r="34" spans="2:8" ht="16.5" thickBot="1">
      <c r="B34" s="13"/>
      <c r="C34" s="14"/>
      <c r="D34" s="17"/>
      <c r="E34" s="14"/>
      <c r="F34" s="18"/>
      <c r="G34" s="14"/>
      <c r="H34" s="18"/>
    </row>
    <row r="35" spans="2:8" ht="21" customHeight="1">
      <c r="B35" s="19"/>
      <c r="C35" s="19"/>
    </row>
    <row r="36" spans="2:8">
      <c r="B36" s="19"/>
      <c r="C36" s="19"/>
    </row>
    <row r="37" spans="2:8" ht="15.75" thickBot="1">
      <c r="B37" s="19"/>
      <c r="C37" s="19"/>
    </row>
    <row r="38" spans="2:8" ht="15.75">
      <c r="B38" s="207" t="s">
        <v>25</v>
      </c>
      <c r="C38" s="208"/>
      <c r="D38" s="208"/>
      <c r="E38" s="209"/>
    </row>
    <row r="39" spans="2:8" ht="16.5" thickBot="1">
      <c r="B39" s="20" t="s">
        <v>26</v>
      </c>
      <c r="C39" s="17"/>
      <c r="D39" s="17" t="s">
        <v>27</v>
      </c>
      <c r="E39" s="17" t="s">
        <v>28</v>
      </c>
    </row>
    <row r="40" spans="2:8" ht="16.5" thickBot="1">
      <c r="B40" s="20" t="s">
        <v>29</v>
      </c>
      <c r="C40" s="17"/>
      <c r="D40" s="17">
        <v>6</v>
      </c>
      <c r="E40" s="143">
        <v>997.32</v>
      </c>
    </row>
    <row r="41" spans="2:8" ht="16.5" thickBot="1">
      <c r="B41" s="20" t="s">
        <v>30</v>
      </c>
      <c r="C41" s="17"/>
      <c r="D41" s="17">
        <v>0</v>
      </c>
      <c r="E41" s="15">
        <f>2201.129046*E10</f>
        <v>2300.1798530699998</v>
      </c>
    </row>
    <row r="42" spans="2:8" ht="16.5" thickBot="1">
      <c r="B42" s="20" t="s">
        <v>31</v>
      </c>
      <c r="C42" s="17"/>
      <c r="D42" s="17">
        <v>0</v>
      </c>
      <c r="E42" s="15">
        <f>2201.129046*E10</f>
        <v>2300.1798530699998</v>
      </c>
    </row>
    <row r="43" spans="2:8" ht="16.5" thickBot="1">
      <c r="B43" s="20" t="s">
        <v>32</v>
      </c>
      <c r="C43" s="17"/>
      <c r="D43" s="17">
        <v>0</v>
      </c>
      <c r="E43" s="15">
        <f>2201.129046*E10</f>
        <v>2300.1798530699998</v>
      </c>
    </row>
    <row r="44" spans="2:8" ht="16.5" thickBot="1">
      <c r="B44" s="20" t="s">
        <v>33</v>
      </c>
      <c r="C44" s="17"/>
      <c r="D44" s="17">
        <v>0</v>
      </c>
      <c r="E44" s="15">
        <f>2264.5170702*E10</f>
        <v>2366.4203383589997</v>
      </c>
    </row>
    <row r="45" spans="2:8" ht="16.5" thickBot="1">
      <c r="B45" s="20" t="s">
        <v>34</v>
      </c>
      <c r="C45" s="17"/>
      <c r="D45" s="17">
        <v>0</v>
      </c>
      <c r="E45" s="15">
        <f>2201.129046*E10</f>
        <v>2300.1798530699998</v>
      </c>
    </row>
    <row r="48" spans="2:8" ht="15.75" thickBot="1"/>
    <row r="49" spans="2:9" ht="16.5" thickTop="1">
      <c r="B49" s="236" t="s">
        <v>35</v>
      </c>
      <c r="C49" s="237"/>
      <c r="D49" s="237"/>
      <c r="E49" s="237"/>
      <c r="F49" s="237"/>
      <c r="G49" s="237"/>
      <c r="H49" s="237"/>
      <c r="I49" s="238"/>
    </row>
    <row r="50" spans="2:9" ht="16.5" thickBot="1">
      <c r="B50" s="239" t="s">
        <v>36</v>
      </c>
      <c r="C50" s="240"/>
      <c r="D50" s="240"/>
      <c r="E50" s="240"/>
      <c r="F50" s="240"/>
      <c r="G50" s="240"/>
      <c r="H50" s="240"/>
      <c r="I50" s="241"/>
    </row>
    <row r="51" spans="2:9" ht="16.5" thickBot="1">
      <c r="B51" s="21"/>
      <c r="C51" s="22"/>
      <c r="D51" s="190" t="s">
        <v>37</v>
      </c>
      <c r="E51" s="191"/>
      <c r="F51" s="191"/>
      <c r="G51" s="191"/>
      <c r="H51" s="191"/>
      <c r="I51" s="192"/>
    </row>
    <row r="52" spans="2:9" ht="17.25" thickTop="1" thickBot="1">
      <c r="B52" s="23" t="s">
        <v>27</v>
      </c>
      <c r="C52" s="24"/>
      <c r="D52" s="24" t="s">
        <v>12</v>
      </c>
      <c r="E52" s="24" t="s">
        <v>11</v>
      </c>
      <c r="F52" s="24" t="s">
        <v>10</v>
      </c>
      <c r="G52" s="24" t="s">
        <v>9</v>
      </c>
      <c r="H52" s="24" t="s">
        <v>38</v>
      </c>
      <c r="I52" s="24" t="s">
        <v>39</v>
      </c>
    </row>
    <row r="53" spans="2:9" ht="17.25" thickTop="1" thickBot="1">
      <c r="B53" s="25">
        <v>1</v>
      </c>
      <c r="C53" s="26"/>
      <c r="D53" s="27">
        <f>2041.585452*E10</f>
        <v>2133.4567973399999</v>
      </c>
      <c r="E53" s="144">
        <v>2158.79</v>
      </c>
      <c r="F53" s="27">
        <f>2103.630183*E10</f>
        <v>2198.2935412350002</v>
      </c>
      <c r="G53" s="27">
        <f>2133.6560892*E10</f>
        <v>2229.6706132140002</v>
      </c>
      <c r="H53" s="27">
        <f>2165.6528928*E10</f>
        <v>2263.1072729759994</v>
      </c>
      <c r="I53" s="27">
        <f>2197.6937388*E10</f>
        <v>2296.5899570460001</v>
      </c>
    </row>
    <row r="54" spans="2:9" ht="17.25" thickTop="1" thickBot="1">
      <c r="B54" s="25">
        <v>2</v>
      </c>
      <c r="C54" s="26"/>
      <c r="D54" s="27">
        <f>2241.7361388*E10</f>
        <v>2342.6142650459997</v>
      </c>
      <c r="E54" s="144">
        <v>2392.1999999999998</v>
      </c>
      <c r="F54" s="27">
        <f>2337.7926132*E10</f>
        <v>2442.9932807939995</v>
      </c>
      <c r="G54" s="27">
        <f>2387.8578114*E10</f>
        <v>2495.3114129129999</v>
      </c>
      <c r="H54" s="27">
        <v>2547.6</v>
      </c>
      <c r="I54" s="27">
        <f>2487.9331548*E10</f>
        <v>2599.8901467659998</v>
      </c>
    </row>
    <row r="55" spans="2:9" ht="17.25" thickTop="1" thickBot="1">
      <c r="B55" s="25">
        <v>3</v>
      </c>
      <c r="C55" s="26"/>
      <c r="D55" s="27">
        <f>2537.9653212*E10</f>
        <v>2652.1737606539996</v>
      </c>
      <c r="E55" s="144">
        <v>2704.46</v>
      </c>
      <c r="F55" s="27">
        <f>2640.1546998*E10</f>
        <v>2758.9616612909995</v>
      </c>
      <c r="G55" s="27">
        <f>2694.0515868*E10</f>
        <v>2815.283908206</v>
      </c>
      <c r="H55" s="27">
        <f>2748.0916116*E10</f>
        <v>2871.7557341219995</v>
      </c>
      <c r="I55" s="27">
        <f>2802.1756788*E10</f>
        <v>2928.2735843459996</v>
      </c>
    </row>
    <row r="56" spans="2:9" ht="17.25" thickTop="1" thickBot="1">
      <c r="B56" s="25">
        <v>4</v>
      </c>
      <c r="C56" s="26"/>
      <c r="D56" s="27">
        <f>2858.1976116*E10</f>
        <v>2986.816504122</v>
      </c>
      <c r="E56" s="144">
        <v>3047.48</v>
      </c>
      <c r="F56" s="27">
        <f>2974.293378*E10</f>
        <v>3108.1365800099998</v>
      </c>
      <c r="G56" s="27">
        <f>3032.3632824*E10</f>
        <v>3168.8196301079997</v>
      </c>
      <c r="H56" s="27">
        <f>3094.3859922*E10</f>
        <v>3233.6333618489998</v>
      </c>
      <c r="I56" s="27">
        <f>3156.4527444*E10</f>
        <v>3298.4931178979996</v>
      </c>
    </row>
    <row r="57" spans="2:9" ht="17.25" thickTop="1" thickBot="1">
      <c r="B57" s="25">
        <v>5</v>
      </c>
      <c r="C57" s="26"/>
      <c r="D57" s="27">
        <f>3218.4644436*E10</f>
        <v>3363.2953435619997</v>
      </c>
      <c r="E57" s="144">
        <v>3452.34</v>
      </c>
      <c r="F57" s="27">
        <f>3348.5656932*E10</f>
        <v>3499.2511493940001</v>
      </c>
      <c r="G57" s="27">
        <f>3416.644233*E10</f>
        <v>3570.3932234849999</v>
      </c>
      <c r="H57" s="27">
        <f>3484.689741*E10</f>
        <v>3641.500779345</v>
      </c>
      <c r="I57" s="27">
        <f>3554.7611994*E10</f>
        <v>3714.7254533729997</v>
      </c>
    </row>
    <row r="58" spans="2:9" ht="15.75" thickTop="1"/>
    <row r="59" spans="2:9" ht="15.75" thickBot="1"/>
    <row r="60" spans="2:9" ht="20.25" thickTop="1" thickBot="1">
      <c r="B60" s="244" t="s">
        <v>40</v>
      </c>
      <c r="C60" s="245"/>
      <c r="D60" s="245"/>
      <c r="E60" s="245"/>
      <c r="F60" s="245"/>
      <c r="G60" s="245"/>
      <c r="H60" s="245"/>
      <c r="I60" s="246"/>
    </row>
    <row r="61" spans="2:9" ht="16.5" thickBot="1">
      <c r="B61" s="21"/>
      <c r="C61" s="22"/>
      <c r="D61" s="247" t="s">
        <v>41</v>
      </c>
      <c r="E61" s="248"/>
      <c r="F61" s="248"/>
      <c r="G61" s="248"/>
      <c r="H61" s="248"/>
      <c r="I61" s="249"/>
    </row>
    <row r="62" spans="2:9" ht="17.25" thickTop="1" thickBot="1">
      <c r="B62" s="23" t="s">
        <v>27</v>
      </c>
      <c r="C62" s="24"/>
      <c r="D62" s="24" t="s">
        <v>12</v>
      </c>
      <c r="E62" s="24" t="s">
        <v>11</v>
      </c>
      <c r="F62" s="24" t="s">
        <v>10</v>
      </c>
      <c r="G62" s="24" t="s">
        <v>9</v>
      </c>
      <c r="H62" s="24" t="s">
        <v>38</v>
      </c>
      <c r="I62" s="24" t="s">
        <v>39</v>
      </c>
    </row>
    <row r="63" spans="2:9" ht="17.25" thickTop="1" thickBot="1">
      <c r="B63" s="28">
        <v>1</v>
      </c>
      <c r="C63" s="29"/>
      <c r="D63" s="27">
        <f>1719.6795504*E10</f>
        <v>1797.0651301679998</v>
      </c>
      <c r="E63" s="27">
        <f>1771.2972432*E10</f>
        <v>1851.0056191439999</v>
      </c>
      <c r="F63" s="27">
        <f>1824.4233882*E10</f>
        <v>1906.5224406689999</v>
      </c>
      <c r="G63" s="27">
        <f>1879.1901126*E10</f>
        <v>1963.7536676669999</v>
      </c>
      <c r="H63" s="27">
        <f>1935.5203422*E10</f>
        <v>2022.6187575989998</v>
      </c>
      <c r="I63" s="27">
        <f>1993.4581194*E10</f>
        <v>2083.1637347729998</v>
      </c>
    </row>
    <row r="64" spans="2:9" ht="17.25" thickTop="1" thickBot="1">
      <c r="B64" s="28">
        <v>2</v>
      </c>
      <c r="C64" s="29"/>
      <c r="D64" s="27">
        <f>2093.3572932*E10</f>
        <v>2187.558371394</v>
      </c>
      <c r="E64" s="27">
        <f>2156.1397344*E10</f>
        <v>2253.1660224480001</v>
      </c>
      <c r="F64" s="27">
        <f>2220.8490306*E10</f>
        <v>2320.7872369769998</v>
      </c>
      <c r="G64" s="27">
        <f>2287.4301288*E10</f>
        <v>2390.3644845959998</v>
      </c>
      <c r="H64" s="27">
        <f>2356.0922304*E10</f>
        <v>2462.116380768</v>
      </c>
      <c r="I64" s="27">
        <f>2426.571081*E10</f>
        <v>2535.766779645</v>
      </c>
    </row>
    <row r="65" spans="2:9" ht="17.25" thickTop="1" thickBot="1">
      <c r="B65" s="28">
        <v>3</v>
      </c>
      <c r="C65" s="29"/>
      <c r="D65" s="27">
        <f>2616.8672808*E10</f>
        <v>2734.6263084359998</v>
      </c>
      <c r="E65" s="27">
        <f>2695.2957846*E10</f>
        <v>2816.5840949069998</v>
      </c>
      <c r="F65" s="27">
        <f>2776.1796522*E10</f>
        <v>2901.1077365489996</v>
      </c>
      <c r="G65" s="27">
        <f>2859.507873*E10</f>
        <v>2988.1857272849998</v>
      </c>
      <c r="H65" s="27">
        <f>2945.6437968*E10</f>
        <v>3078.197767656</v>
      </c>
      <c r="I65" s="27">
        <f>3033.640512*E10</f>
        <v>3170.1543350399998</v>
      </c>
    </row>
    <row r="66" spans="2:9" ht="17.25" thickTop="1" thickBot="1">
      <c r="B66" s="28">
        <v>4</v>
      </c>
      <c r="C66" s="29"/>
      <c r="D66" s="27">
        <f>3177.0976194*E10</f>
        <v>3320.0670122729998</v>
      </c>
      <c r="E66" s="27">
        <f>3311.382897*E10</f>
        <v>3460.3951273649996</v>
      </c>
      <c r="F66" s="27">
        <f>3410.7645726*E10</f>
        <v>3564.2489783669998</v>
      </c>
      <c r="G66" s="27">
        <f>3513.1191102*E10</f>
        <v>3671.2094701589995</v>
      </c>
      <c r="H66" s="27">
        <f>3618.468531*E10</f>
        <v>3781.2996148949996</v>
      </c>
      <c r="I66" s="27">
        <f>3727.0110258*E10</f>
        <v>3894.7265219609999</v>
      </c>
    </row>
    <row r="67" spans="2:9" ht="17.25" thickTop="1" thickBot="1">
      <c r="B67" s="28">
        <v>5</v>
      </c>
      <c r="C67" s="29"/>
      <c r="D67" s="27">
        <f>4261.707783*E10</f>
        <v>4453.4846332349998</v>
      </c>
      <c r="E67" s="27">
        <f>4389.5738808*E10</f>
        <v>4587.1047054359997</v>
      </c>
      <c r="F67" s="27">
        <f>4521.227625*E10</f>
        <v>4724.6828681249999</v>
      </c>
      <c r="G67" s="27">
        <f>4656.878217*E10</f>
        <v>4866.4377367650004</v>
      </c>
      <c r="H67" s="27">
        <f>4796.547678*E10</f>
        <v>5012.3923235099992</v>
      </c>
      <c r="I67" s="27">
        <f>4940.5553154*E10</f>
        <v>5162.8803045929999</v>
      </c>
    </row>
    <row r="68" spans="2:9" ht="16.5" thickTop="1">
      <c r="B68" s="30"/>
      <c r="C68" s="30"/>
      <c r="D68" s="31"/>
      <c r="E68" s="31"/>
      <c r="F68" s="31"/>
      <c r="G68" s="31"/>
      <c r="H68" s="31"/>
      <c r="I68" s="31"/>
    </row>
    <row r="69" spans="2:9" ht="15.75">
      <c r="B69" s="30"/>
      <c r="C69" s="30"/>
      <c r="D69" s="31"/>
      <c r="E69" s="31"/>
      <c r="F69" s="31"/>
      <c r="G69" s="31"/>
      <c r="H69" s="31"/>
      <c r="I69" s="31"/>
    </row>
    <row r="70" spans="2:9" ht="15.75">
      <c r="B70" s="30"/>
      <c r="C70" s="30"/>
      <c r="D70" s="31"/>
      <c r="E70" s="31"/>
      <c r="F70" s="31"/>
      <c r="G70" s="31"/>
      <c r="H70" s="31"/>
      <c r="I70" s="31"/>
    </row>
    <row r="72" spans="2:9" ht="15.75" thickBot="1"/>
    <row r="73" spans="2:9" ht="67.5" customHeight="1" thickBot="1">
      <c r="B73" s="250" t="s">
        <v>42</v>
      </c>
      <c r="C73" s="251"/>
      <c r="D73" s="252"/>
    </row>
    <row r="74" spans="2:9" ht="19.5" thickBot="1">
      <c r="B74" s="253" t="s">
        <v>43</v>
      </c>
      <c r="C74" s="254"/>
      <c r="D74" s="255"/>
    </row>
    <row r="75" spans="2:9" ht="16.5" thickBot="1">
      <c r="B75" s="32" t="s">
        <v>41</v>
      </c>
      <c r="C75" s="33"/>
      <c r="D75" s="33" t="s">
        <v>28</v>
      </c>
    </row>
    <row r="76" spans="2:9" ht="16.5" thickBot="1">
      <c r="B76" s="20" t="s">
        <v>12</v>
      </c>
      <c r="C76" s="17"/>
      <c r="D76" s="16">
        <f>6234.8403348*E10</f>
        <v>6515.4081498659998</v>
      </c>
    </row>
    <row r="77" spans="2:9" ht="16.5" thickBot="1">
      <c r="B77" s="20" t="s">
        <v>11</v>
      </c>
      <c r="C77" s="17"/>
      <c r="D77" s="16">
        <f>6292.888218*E10</f>
        <v>6576.0681878099995</v>
      </c>
    </row>
    <row r="78" spans="2:9" ht="16.5" thickBot="1">
      <c r="B78" s="20" t="s">
        <v>10</v>
      </c>
      <c r="C78" s="17"/>
      <c r="D78" s="16">
        <f>6350.9250906*E10</f>
        <v>6636.7167196769997</v>
      </c>
    </row>
    <row r="79" spans="2:9" ht="16.5" thickBot="1">
      <c r="B79" s="20" t="s">
        <v>9</v>
      </c>
      <c r="C79" s="17"/>
      <c r="D79" s="16">
        <f>6408.994995*E10</f>
        <v>6697.3997697749992</v>
      </c>
    </row>
    <row r="80" spans="2:9" ht="16.5" thickBot="1">
      <c r="B80" s="20" t="s">
        <v>38</v>
      </c>
      <c r="C80" s="17"/>
      <c r="D80" s="16">
        <f>6471.0287154*E10</f>
        <v>6762.2250075929996</v>
      </c>
    </row>
    <row r="81" spans="2:4" ht="16.5" thickBot="1">
      <c r="B81" s="20" t="s">
        <v>39</v>
      </c>
      <c r="C81" s="17"/>
      <c r="D81" s="16">
        <f>6533.0954676*E10</f>
        <v>6827.0847636419994</v>
      </c>
    </row>
    <row r="84" spans="2:4" ht="15.75" thickBot="1"/>
    <row r="85" spans="2:4" ht="86.25" customHeight="1" thickBot="1">
      <c r="B85" s="250" t="s">
        <v>44</v>
      </c>
      <c r="C85" s="251"/>
      <c r="D85" s="252"/>
    </row>
    <row r="86" spans="2:4" ht="19.5" thickBot="1">
      <c r="B86" s="253" t="s">
        <v>43</v>
      </c>
      <c r="C86" s="254"/>
      <c r="D86" s="255"/>
    </row>
    <row r="87" spans="2:4" ht="16.5" thickBot="1">
      <c r="B87" s="32" t="s">
        <v>41</v>
      </c>
      <c r="C87" s="33"/>
      <c r="D87" s="33" t="s">
        <v>28</v>
      </c>
    </row>
    <row r="88" spans="2:4" ht="16.5" thickBot="1">
      <c r="B88" s="20" t="s">
        <v>12</v>
      </c>
      <c r="C88" s="17"/>
      <c r="D88" s="16">
        <f>6591.5177112*E10</f>
        <v>6888.1360082040001</v>
      </c>
    </row>
    <row r="89" spans="2:4" ht="16.5" thickBot="1">
      <c r="B89" s="20" t="s">
        <v>11</v>
      </c>
      <c r="C89" s="17"/>
      <c r="D89" s="16">
        <f>6688.0256202*E10</f>
        <v>6988.9867731089998</v>
      </c>
    </row>
    <row r="90" spans="2:4" ht="16.5" thickBot="1">
      <c r="B90" s="20" t="s">
        <v>10</v>
      </c>
      <c r="C90" s="17"/>
      <c r="D90" s="16">
        <f>6787.4072958*E10</f>
        <v>7092.8406241109988</v>
      </c>
    </row>
    <row r="91" spans="2:4" ht="16.5" thickBot="1">
      <c r="B91" s="20" t="s">
        <v>9</v>
      </c>
      <c r="C91" s="17"/>
      <c r="D91" s="16">
        <f>6889.76183339999*E10</f>
        <v>7199.8011159029893</v>
      </c>
    </row>
    <row r="92" spans="2:4" ht="16.5" thickBot="1">
      <c r="B92" s="20" t="s">
        <v>38</v>
      </c>
      <c r="C92" s="17"/>
      <c r="D92" s="16">
        <f>6995.1112542*E10</f>
        <v>7309.8912606389995</v>
      </c>
    </row>
    <row r="93" spans="2:4" ht="16.5" thickBot="1">
      <c r="B93" s="20" t="s">
        <v>39</v>
      </c>
      <c r="C93" s="17"/>
      <c r="D93" s="16">
        <f>7103.653749*E10</f>
        <v>7423.3181677049997</v>
      </c>
    </row>
    <row r="97" spans="2:4" ht="15.75" thickBot="1"/>
    <row r="98" spans="2:4" ht="16.5" thickBot="1">
      <c r="B98" s="207" t="s">
        <v>45</v>
      </c>
      <c r="C98" s="208"/>
      <c r="D98" s="209"/>
    </row>
    <row r="99" spans="2:4" ht="18" thickBot="1">
      <c r="B99" s="204" t="s">
        <v>46</v>
      </c>
      <c r="C99" s="205"/>
      <c r="D99" s="206"/>
    </row>
    <row r="100" spans="2:4" ht="16.5" thickBot="1">
      <c r="B100" s="32" t="s">
        <v>41</v>
      </c>
      <c r="C100" s="33"/>
      <c r="D100" s="33" t="s">
        <v>28</v>
      </c>
    </row>
    <row r="101" spans="2:4" ht="16.5" thickBot="1">
      <c r="B101" s="20" t="s">
        <v>12</v>
      </c>
      <c r="C101" s="17"/>
      <c r="D101" s="137">
        <f>12533.91651*E10</f>
        <v>13097.942752949999</v>
      </c>
    </row>
    <row r="102" spans="2:4" ht="16.5" thickBot="1">
      <c r="B102" s="20" t="s">
        <v>11</v>
      </c>
      <c r="C102" s="17"/>
      <c r="D102" s="16">
        <f>14413.9874706*E10</f>
        <v>15062.616906776999</v>
      </c>
    </row>
    <row r="103" spans="2:4" ht="16.5" thickBot="1">
      <c r="B103" s="20" t="s">
        <v>10</v>
      </c>
      <c r="C103" s="17"/>
      <c r="D103" s="16">
        <f>16576.1059608*E10</f>
        <v>17322.030729036</v>
      </c>
    </row>
    <row r="104" spans="2:4" ht="16.5" thickBot="1">
      <c r="B104" s="20" t="s">
        <v>9</v>
      </c>
      <c r="C104" s="17"/>
      <c r="D104" s="16">
        <f>19062.5086422*E10</f>
        <v>19920.321531098998</v>
      </c>
    </row>
    <row r="105" spans="2:4" ht="16.5" thickBot="1">
      <c r="B105" s="20" t="s">
        <v>38</v>
      </c>
      <c r="C105" s="17"/>
      <c r="D105" s="16">
        <f>21921.9284304*E10</f>
        <v>22908.415209767998</v>
      </c>
    </row>
    <row r="106" spans="2:4" ht="16.5" thickBot="1">
      <c r="B106" s="20" t="s">
        <v>39</v>
      </c>
      <c r="C106" s="17"/>
      <c r="D106" s="16">
        <f>25210.2220992*E10</f>
        <v>26344.682093664</v>
      </c>
    </row>
    <row r="108" spans="2:4" ht="15.75" thickBot="1"/>
    <row r="109" spans="2:4" ht="15.75" customHeight="1">
      <c r="B109" s="193" t="s">
        <v>47</v>
      </c>
      <c r="C109" s="194"/>
      <c r="D109" s="195"/>
    </row>
    <row r="110" spans="2:4" ht="16.5" thickBot="1">
      <c r="B110" s="242" t="s">
        <v>48</v>
      </c>
      <c r="C110" s="240"/>
      <c r="D110" s="243"/>
    </row>
    <row r="111" spans="2:4" ht="15.75">
      <c r="B111" s="34" t="s">
        <v>27</v>
      </c>
      <c r="C111" s="34"/>
      <c r="D111" s="234" t="s">
        <v>28</v>
      </c>
    </row>
    <row r="112" spans="2:4" ht="16.5" thickBot="1">
      <c r="B112" s="32" t="s">
        <v>49</v>
      </c>
      <c r="C112" s="32"/>
      <c r="D112" s="235"/>
    </row>
    <row r="113" spans="2:4" ht="16.5" thickBot="1">
      <c r="B113" s="20" t="s">
        <v>50</v>
      </c>
      <c r="C113" s="17"/>
      <c r="D113" s="16">
        <f>5001.4659546*E10</f>
        <v>5226.5319225570001</v>
      </c>
    </row>
    <row r="114" spans="2:4" ht="16.5" thickBot="1">
      <c r="B114" s="20" t="s">
        <v>51</v>
      </c>
      <c r="C114" s="17"/>
      <c r="D114" s="16">
        <f>5751.7062174*E10</f>
        <v>6010.5329971829997</v>
      </c>
    </row>
    <row r="115" spans="2:4" ht="16.5" thickBot="1">
      <c r="B115" s="20" t="s">
        <v>52</v>
      </c>
      <c r="C115" s="17"/>
      <c r="D115" s="16">
        <f>6614.9812998*E10</f>
        <v>6912.6554582909994</v>
      </c>
    </row>
    <row r="116" spans="2:4" ht="16.5" thickBot="1">
      <c r="B116" s="20" t="s">
        <v>53</v>
      </c>
      <c r="C116" s="17"/>
      <c r="D116" s="16">
        <f>7606.5739146*E10</f>
        <v>7948.8697407569989</v>
      </c>
    </row>
    <row r="117" spans="2:4" ht="16.5" thickBot="1">
      <c r="B117" s="20" t="s">
        <v>54</v>
      </c>
      <c r="C117" s="17"/>
      <c r="D117" s="16">
        <f>8747.5803714*E10</f>
        <v>9141.2214881129985</v>
      </c>
    </row>
    <row r="118" spans="2:4" ht="16.5" thickBot="1">
      <c r="B118" s="20" t="s">
        <v>55</v>
      </c>
      <c r="C118" s="17"/>
      <c r="D118" s="16">
        <f>10059.7025628*E10</f>
        <v>10512.389178125999</v>
      </c>
    </row>
    <row r="120" spans="2:4" ht="15.75" thickBot="1"/>
    <row r="121" spans="2:4" ht="16.5" thickBot="1">
      <c r="B121" s="35" t="s">
        <v>56</v>
      </c>
      <c r="C121" s="36"/>
      <c r="D121" s="36" t="s">
        <v>57</v>
      </c>
    </row>
    <row r="122" spans="2:4" ht="16.5" thickBot="1">
      <c r="B122" s="37" t="s">
        <v>58</v>
      </c>
      <c r="C122" s="38"/>
      <c r="D122" s="16">
        <f>15304.2275124*E10</f>
        <v>15992.917750458</v>
      </c>
    </row>
    <row r="123" spans="2:4" ht="16.5" thickBot="1">
      <c r="B123" s="37" t="s">
        <v>59</v>
      </c>
      <c r="C123" s="38"/>
      <c r="D123" s="16">
        <f>8235.7195986*E10</f>
        <v>8606.3269805370001</v>
      </c>
    </row>
    <row r="124" spans="2:4" ht="16.5" thickBot="1">
      <c r="B124" s="37" t="s">
        <v>60</v>
      </c>
      <c r="C124" s="38"/>
      <c r="D124" s="16">
        <f>8235.7195986*E10</f>
        <v>8606.3269805370001</v>
      </c>
    </row>
    <row r="125" spans="2:4" ht="16.5" thickBot="1">
      <c r="B125" s="37" t="s">
        <v>61</v>
      </c>
      <c r="C125" s="38"/>
      <c r="D125" s="16">
        <f>8235.7195986*E10</f>
        <v>8606.3269805370001</v>
      </c>
    </row>
    <row r="126" spans="2:4" ht="16.5" thickBot="1">
      <c r="B126" s="37" t="s">
        <v>62</v>
      </c>
      <c r="C126" s="38"/>
      <c r="D126" s="16">
        <f>3512.5906014*E10</f>
        <v>3670.657178463</v>
      </c>
    </row>
    <row r="127" spans="2:4" ht="15.75">
      <c r="B127" s="136"/>
      <c r="C127" s="136"/>
      <c r="D127" s="81"/>
    </row>
    <row r="128" spans="2:4" ht="15.75">
      <c r="B128" s="136"/>
      <c r="C128" s="136"/>
      <c r="D128" s="81"/>
    </row>
    <row r="129" spans="2:12" ht="15.75">
      <c r="B129" s="136"/>
      <c r="C129" s="136"/>
      <c r="D129" s="81"/>
    </row>
    <row r="130" spans="2:12" ht="15.75">
      <c r="B130" s="136"/>
      <c r="C130" s="136"/>
      <c r="D130" s="81"/>
    </row>
    <row r="131" spans="2:12" ht="15.75">
      <c r="B131" s="136"/>
      <c r="C131" s="136"/>
      <c r="D131" s="81"/>
    </row>
    <row r="132" spans="2:12" ht="15.75">
      <c r="B132" s="136"/>
      <c r="C132" s="136"/>
      <c r="D132" s="81"/>
    </row>
    <row r="133" spans="2:12" ht="15.75">
      <c r="B133" s="136"/>
      <c r="C133" s="136"/>
      <c r="D133" s="81"/>
    </row>
    <row r="134" spans="2:12" ht="15.75" thickBot="1"/>
    <row r="135" spans="2:12">
      <c r="B135" s="196"/>
      <c r="C135" s="39"/>
      <c r="D135" s="196"/>
      <c r="E135" s="198" t="s">
        <v>63</v>
      </c>
      <c r="F135" s="199"/>
      <c r="G135" s="199"/>
      <c r="H135" s="199"/>
      <c r="I135" s="200"/>
      <c r="J135" s="196"/>
      <c r="K135" s="196"/>
      <c r="L135" s="196"/>
    </row>
    <row r="136" spans="2:12" ht="15.75" thickBot="1">
      <c r="B136" s="197"/>
      <c r="C136" s="40"/>
      <c r="D136" s="197"/>
      <c r="E136" s="201"/>
      <c r="F136" s="202"/>
      <c r="G136" s="202"/>
      <c r="H136" s="202"/>
      <c r="I136" s="203"/>
      <c r="J136" s="197"/>
      <c r="K136" s="197"/>
      <c r="L136" s="197"/>
    </row>
    <row r="137" spans="2:12">
      <c r="B137" s="211" t="s">
        <v>64</v>
      </c>
      <c r="C137" s="41"/>
      <c r="D137" s="211" t="s">
        <v>65</v>
      </c>
      <c r="E137" s="211" t="s">
        <v>66</v>
      </c>
      <c r="F137" s="211" t="s">
        <v>67</v>
      </c>
      <c r="G137" s="211" t="s">
        <v>68</v>
      </c>
      <c r="H137" s="211"/>
      <c r="I137" s="211" t="s">
        <v>69</v>
      </c>
      <c r="J137" s="211" t="s">
        <v>70</v>
      </c>
      <c r="K137" s="42" t="s">
        <v>71</v>
      </c>
      <c r="L137" s="42" t="s">
        <v>72</v>
      </c>
    </row>
    <row r="138" spans="2:12">
      <c r="B138" s="212"/>
      <c r="C138" s="43"/>
      <c r="D138" s="212"/>
      <c r="E138" s="212"/>
      <c r="F138" s="212"/>
      <c r="G138" s="212"/>
      <c r="H138" s="212"/>
      <c r="I138" s="212"/>
      <c r="J138" s="212"/>
      <c r="K138" s="42" t="s">
        <v>73</v>
      </c>
      <c r="L138" s="42" t="s">
        <v>74</v>
      </c>
    </row>
    <row r="139" spans="2:12" ht="15.75" thickBot="1">
      <c r="B139" s="213"/>
      <c r="C139" s="44"/>
      <c r="D139" s="213"/>
      <c r="E139" s="213"/>
      <c r="F139" s="213"/>
      <c r="G139" s="213"/>
      <c r="H139" s="213"/>
      <c r="I139" s="213"/>
      <c r="J139" s="213"/>
      <c r="K139" s="45" t="s">
        <v>75</v>
      </c>
      <c r="L139" s="46" t="s">
        <v>76</v>
      </c>
    </row>
    <row r="140" spans="2:12" ht="15.75" thickBot="1">
      <c r="B140" s="44" t="s">
        <v>77</v>
      </c>
      <c r="C140" s="46"/>
      <c r="D140" s="46" t="s">
        <v>78</v>
      </c>
      <c r="E140" s="46" t="s">
        <v>78</v>
      </c>
      <c r="F140" s="46" t="s">
        <v>78</v>
      </c>
      <c r="G140" s="46" t="s">
        <v>78</v>
      </c>
      <c r="H140" s="46" t="s">
        <v>78</v>
      </c>
      <c r="I140" s="48">
        <v>18669.45</v>
      </c>
      <c r="J140" s="46"/>
      <c r="K140" s="45"/>
      <c r="L140" s="48">
        <v>18669.45</v>
      </c>
    </row>
    <row r="141" spans="2:12" ht="15.75" thickBot="1">
      <c r="B141" s="44" t="s">
        <v>79</v>
      </c>
      <c r="C141" s="46"/>
      <c r="D141" s="46" t="s">
        <v>78</v>
      </c>
      <c r="E141" s="46" t="s">
        <v>78</v>
      </c>
      <c r="F141" s="46" t="s">
        <v>78</v>
      </c>
      <c r="G141" s="46" t="s">
        <v>78</v>
      </c>
      <c r="H141" s="47" t="s">
        <v>78</v>
      </c>
      <c r="I141" s="48">
        <f>7718.4684*E10</f>
        <v>8065.799477999999</v>
      </c>
      <c r="J141" s="47" t="s">
        <v>80</v>
      </c>
      <c r="K141" s="47" t="s">
        <v>80</v>
      </c>
      <c r="L141" s="49">
        <v>8065.8</v>
      </c>
    </row>
    <row r="142" spans="2:12" ht="15.75" thickBot="1">
      <c r="B142" s="44" t="s">
        <v>81</v>
      </c>
      <c r="C142" s="46"/>
      <c r="D142" s="131">
        <v>3000.75</v>
      </c>
      <c r="E142" s="50">
        <v>1</v>
      </c>
      <c r="F142" s="49">
        <f>D142*E142</f>
        <v>3000.75</v>
      </c>
      <c r="G142" s="50">
        <v>0.5</v>
      </c>
      <c r="H142" s="132">
        <v>1500.38</v>
      </c>
      <c r="I142" s="133">
        <v>7501.88</v>
      </c>
      <c r="J142" s="47">
        <v>225.72</v>
      </c>
      <c r="K142" s="47" t="s">
        <v>80</v>
      </c>
      <c r="L142" s="49">
        <f>I142+J142</f>
        <v>7727.6</v>
      </c>
    </row>
    <row r="143" spans="2:12" ht="15.75" thickBot="1">
      <c r="B143" s="44" t="s">
        <v>82</v>
      </c>
      <c r="C143" s="46"/>
      <c r="D143" s="49">
        <f>1367.1091278*E10</f>
        <v>1428.6290385509999</v>
      </c>
      <c r="E143" s="50">
        <v>1</v>
      </c>
      <c r="F143" s="49">
        <f t="shared" ref="F143:F148" si="0">D143*E143</f>
        <v>1428.6290385509999</v>
      </c>
      <c r="G143" s="50">
        <v>0.5</v>
      </c>
      <c r="H143" s="51">
        <f t="shared" ref="H143:H148" si="1">D143*G143</f>
        <v>714.31451927549995</v>
      </c>
      <c r="I143" s="48">
        <f t="shared" ref="I143:I148" si="2">D143+F143+H143</f>
        <v>3571.5725963774998</v>
      </c>
      <c r="J143" s="47">
        <v>225.72</v>
      </c>
      <c r="K143" s="47">
        <v>528.46</v>
      </c>
      <c r="L143" s="49">
        <f>I143+J143+K143</f>
        <v>4325.7525963774997</v>
      </c>
    </row>
    <row r="144" spans="2:12" ht="15.75" thickBot="1">
      <c r="B144" s="44" t="s">
        <v>83</v>
      </c>
      <c r="C144" s="46"/>
      <c r="D144" s="49">
        <f>994.2902118*E10</f>
        <v>1039.0332713309999</v>
      </c>
      <c r="E144" s="50">
        <v>0.9</v>
      </c>
      <c r="F144" s="49">
        <f t="shared" si="0"/>
        <v>935.12994419789993</v>
      </c>
      <c r="G144" s="50">
        <v>0.5</v>
      </c>
      <c r="H144" s="51">
        <f t="shared" si="1"/>
        <v>519.51663566549996</v>
      </c>
      <c r="I144" s="48">
        <f t="shared" si="2"/>
        <v>2493.6798511943998</v>
      </c>
      <c r="J144" s="47">
        <v>225.72</v>
      </c>
      <c r="K144" s="47">
        <v>528.46</v>
      </c>
      <c r="L144" s="49">
        <f t="shared" ref="L144:L148" si="3">I144+J144+K144</f>
        <v>3247.8598511943997</v>
      </c>
    </row>
    <row r="145" spans="2:12" ht="15.75" thickBot="1">
      <c r="B145" s="44" t="s">
        <v>84</v>
      </c>
      <c r="C145" s="46"/>
      <c r="D145" s="49">
        <f>658.7421768*E10</f>
        <v>688.38557475599998</v>
      </c>
      <c r="E145" s="50">
        <v>0.8</v>
      </c>
      <c r="F145" s="49">
        <f t="shared" si="0"/>
        <v>550.70845980479999</v>
      </c>
      <c r="G145" s="50">
        <v>0.4</v>
      </c>
      <c r="H145" s="51">
        <f t="shared" si="1"/>
        <v>275.35422990239999</v>
      </c>
      <c r="I145" s="48">
        <f t="shared" si="2"/>
        <v>1514.4482644632001</v>
      </c>
      <c r="J145" s="47">
        <v>225.72</v>
      </c>
      <c r="K145" s="47">
        <v>528.46</v>
      </c>
      <c r="L145" s="49">
        <f t="shared" si="3"/>
        <v>2268.6282644632001</v>
      </c>
    </row>
    <row r="146" spans="2:12" ht="15.75" thickBot="1">
      <c r="B146" s="44" t="s">
        <v>85</v>
      </c>
      <c r="C146" s="46"/>
      <c r="D146" s="49">
        <f>459.8466984*E10</f>
        <v>480.53979982799996</v>
      </c>
      <c r="E146" s="50">
        <v>0.7</v>
      </c>
      <c r="F146" s="49">
        <f t="shared" si="0"/>
        <v>336.37785987959995</v>
      </c>
      <c r="G146" s="50">
        <v>0.3</v>
      </c>
      <c r="H146" s="51">
        <f t="shared" si="1"/>
        <v>144.16193994839998</v>
      </c>
      <c r="I146" s="48">
        <f t="shared" si="2"/>
        <v>961.07959965599991</v>
      </c>
      <c r="J146" s="47">
        <v>225.72</v>
      </c>
      <c r="K146" s="47">
        <v>528.46</v>
      </c>
      <c r="L146" s="49">
        <f>1320+J146+K146</f>
        <v>2074.1800000000003</v>
      </c>
    </row>
    <row r="147" spans="2:12" ht="15.75" thickBot="1">
      <c r="B147" s="44" t="s">
        <v>86</v>
      </c>
      <c r="C147" s="46"/>
      <c r="D147" s="131">
        <v>350.55</v>
      </c>
      <c r="E147" s="50">
        <v>0.6</v>
      </c>
      <c r="F147" s="49">
        <f t="shared" si="0"/>
        <v>210.33</v>
      </c>
      <c r="G147" s="50">
        <v>0.2</v>
      </c>
      <c r="H147" s="132">
        <f t="shared" si="1"/>
        <v>70.11</v>
      </c>
      <c r="I147" s="133">
        <f t="shared" si="2"/>
        <v>630.99</v>
      </c>
      <c r="J147" s="47">
        <v>225.72</v>
      </c>
      <c r="K147" s="47">
        <v>528.46</v>
      </c>
      <c r="L147" s="49">
        <f t="shared" si="3"/>
        <v>1385.17</v>
      </c>
    </row>
    <row r="148" spans="2:12" ht="15.75" thickBot="1">
      <c r="B148" s="44" t="s">
        <v>87</v>
      </c>
      <c r="C148" s="46"/>
      <c r="D148" s="131">
        <v>277.37</v>
      </c>
      <c r="E148" s="50">
        <v>0.6</v>
      </c>
      <c r="F148" s="49">
        <f t="shared" si="0"/>
        <v>166.422</v>
      </c>
      <c r="G148" s="50">
        <v>0.2</v>
      </c>
      <c r="H148" s="51">
        <f t="shared" si="1"/>
        <v>55.474000000000004</v>
      </c>
      <c r="I148" s="48">
        <f t="shared" si="2"/>
        <v>499.26600000000002</v>
      </c>
      <c r="J148" s="47">
        <v>225.72</v>
      </c>
      <c r="K148" s="47">
        <v>528.46</v>
      </c>
      <c r="L148" s="49">
        <f t="shared" si="3"/>
        <v>1253.4459999999999</v>
      </c>
    </row>
    <row r="149" spans="2:12" ht="15.75" thickBot="1">
      <c r="B149" s="44" t="s">
        <v>88</v>
      </c>
      <c r="C149" s="46"/>
      <c r="D149" s="49">
        <f>96.3867924*E10</f>
        <v>100.724198058</v>
      </c>
      <c r="E149" s="50">
        <v>0.5</v>
      </c>
      <c r="F149" s="49"/>
      <c r="G149" s="46" t="s">
        <v>78</v>
      </c>
      <c r="H149" s="46"/>
      <c r="I149" s="46"/>
      <c r="J149" s="46"/>
      <c r="K149" s="46"/>
      <c r="L149" s="46"/>
    </row>
    <row r="150" spans="2:12" ht="15.75" thickBot="1">
      <c r="B150" s="44" t="s">
        <v>89</v>
      </c>
      <c r="C150" s="46"/>
      <c r="D150" s="49">
        <f>74.046285*E10</f>
        <v>77.378367824999998</v>
      </c>
      <c r="E150" s="50">
        <v>0.5</v>
      </c>
      <c r="F150" s="49"/>
      <c r="G150" s="46" t="s">
        <v>78</v>
      </c>
      <c r="H150" s="46"/>
      <c r="I150" s="46"/>
      <c r="J150" s="46"/>
      <c r="K150" s="46"/>
      <c r="L150" s="46"/>
    </row>
    <row r="151" spans="2:12" ht="15.75" thickBot="1">
      <c r="B151" s="44" t="s">
        <v>90</v>
      </c>
      <c r="C151" s="46"/>
      <c r="D151" s="49">
        <f>64.9184976*E10</f>
        <v>67.839829991999991</v>
      </c>
      <c r="E151" s="50">
        <v>0.5</v>
      </c>
      <c r="F151" s="49"/>
      <c r="G151" s="46" t="s">
        <v>78</v>
      </c>
      <c r="H151" s="46"/>
      <c r="I151" s="46"/>
      <c r="J151" s="46"/>
      <c r="K151" s="46"/>
      <c r="L151" s="46"/>
    </row>
    <row r="152" spans="2:12" ht="15.75" thickBot="1">
      <c r="B152" s="44" t="s">
        <v>91</v>
      </c>
      <c r="C152" s="46"/>
      <c r="D152" s="49">
        <f>55.6475724*E10</f>
        <v>58.151713158</v>
      </c>
      <c r="E152" s="50">
        <v>0.4</v>
      </c>
      <c r="F152" s="49"/>
      <c r="G152" s="46" t="s">
        <v>78</v>
      </c>
      <c r="H152" s="52"/>
      <c r="I152" s="52"/>
      <c r="J152" s="52"/>
      <c r="K152" s="52"/>
      <c r="L152" s="52"/>
    </row>
    <row r="155" spans="2:12">
      <c r="B155" s="210" t="s">
        <v>92</v>
      </c>
      <c r="C155" s="210"/>
      <c r="D155" s="210"/>
      <c r="E155" s="210"/>
      <c r="F155" s="210"/>
      <c r="G155" s="210"/>
    </row>
    <row r="156" spans="2:12">
      <c r="B156" s="210" t="s">
        <v>93</v>
      </c>
      <c r="C156" s="210"/>
      <c r="D156" s="210"/>
      <c r="E156" s="210"/>
      <c r="F156" s="210"/>
      <c r="G156" s="210"/>
    </row>
    <row r="158" spans="2:12">
      <c r="L158" s="53"/>
    </row>
    <row r="159" spans="2:12">
      <c r="B159" s="54" t="s">
        <v>94</v>
      </c>
      <c r="C159" s="54"/>
    </row>
    <row r="160" spans="2:12">
      <c r="B160" s="54" t="s">
        <v>95</v>
      </c>
      <c r="C160" s="54"/>
    </row>
    <row r="161" spans="2:4">
      <c r="B161" s="54" t="s">
        <v>96</v>
      </c>
      <c r="C161" s="54"/>
    </row>
    <row r="162" spans="2:4">
      <c r="B162" s="54" t="s">
        <v>97</v>
      </c>
      <c r="C162" s="54"/>
    </row>
    <row r="163" spans="2:4" ht="15.75">
      <c r="B163" s="55" t="s">
        <v>98</v>
      </c>
      <c r="C163" s="55"/>
      <c r="D163" s="56">
        <v>323.45</v>
      </c>
    </row>
    <row r="164" spans="2:4" ht="15.75">
      <c r="B164" s="57">
        <v>-1800</v>
      </c>
      <c r="C164" s="58"/>
      <c r="D164" s="56">
        <v>337.15</v>
      </c>
    </row>
    <row r="165" spans="2:4" ht="15.75">
      <c r="B165" s="59"/>
      <c r="C165" s="59"/>
    </row>
    <row r="166" spans="2:4" ht="15.75">
      <c r="B166" s="55" t="s">
        <v>99</v>
      </c>
      <c r="C166" s="55"/>
      <c r="D166" s="56">
        <v>21.77</v>
      </c>
    </row>
    <row r="167" spans="2:4" ht="15.75">
      <c r="B167" s="58" t="s">
        <v>100</v>
      </c>
      <c r="C167" s="58"/>
      <c r="D167" s="56">
        <v>337.15</v>
      </c>
    </row>
    <row r="168" spans="2:4" ht="15.75">
      <c r="B168" s="59"/>
      <c r="C168" s="59"/>
    </row>
    <row r="169" spans="2:4" ht="15.75">
      <c r="B169" s="60" t="s">
        <v>101</v>
      </c>
      <c r="C169" s="55"/>
      <c r="D169" s="53">
        <v>1320</v>
      </c>
    </row>
    <row r="170" spans="2:4" ht="15.75">
      <c r="B170" s="60"/>
      <c r="D170" s="56"/>
    </row>
    <row r="172" spans="2:4" ht="15.75" thickBot="1"/>
    <row r="173" spans="2:4" ht="15.75" thickBot="1">
      <c r="B173" s="61" t="s">
        <v>102</v>
      </c>
      <c r="C173" s="62"/>
      <c r="D173" s="62" t="s">
        <v>28</v>
      </c>
    </row>
    <row r="174" spans="2:4" ht="15.75" thickBot="1">
      <c r="B174" s="63" t="s">
        <v>103</v>
      </c>
      <c r="C174" s="64"/>
      <c r="D174" s="65">
        <f>32500.483497*E10</f>
        <v>33963.005254365002</v>
      </c>
    </row>
    <row r="175" spans="2:4" ht="15.75" thickBot="1">
      <c r="B175" s="63" t="s">
        <v>104</v>
      </c>
      <c r="C175" s="64"/>
      <c r="D175" s="65">
        <f>27744.3116892*E10</f>
        <v>28992.805715213999</v>
      </c>
    </row>
    <row r="176" spans="2:4" ht="15.75" thickBot="1">
      <c r="B176" s="63" t="s">
        <v>105</v>
      </c>
      <c r="C176" s="64"/>
      <c r="D176" s="65">
        <f>17865.522*E10</f>
        <v>18669.47049</v>
      </c>
    </row>
    <row r="177" spans="2:7" ht="15.75" thickBot="1">
      <c r="B177" s="63" t="s">
        <v>106</v>
      </c>
      <c r="C177" s="64"/>
      <c r="D177" s="65">
        <f>17865.522*E10</f>
        <v>18669.47049</v>
      </c>
    </row>
    <row r="179" spans="2:7" ht="15.75" thickBot="1"/>
    <row r="180" spans="2:7" ht="16.5" thickBot="1">
      <c r="B180" s="207" t="s">
        <v>107</v>
      </c>
      <c r="C180" s="208"/>
      <c r="D180" s="209"/>
    </row>
    <row r="181" spans="2:7" ht="16.5" thickBot="1">
      <c r="B181" s="32" t="s">
        <v>108</v>
      </c>
      <c r="C181" s="33"/>
      <c r="D181" s="33" t="s">
        <v>28</v>
      </c>
    </row>
    <row r="182" spans="2:7" ht="16.5" thickBot="1">
      <c r="B182" s="20" t="s">
        <v>109</v>
      </c>
      <c r="C182" s="17"/>
      <c r="D182" s="16">
        <f>2264.5170702*E10</f>
        <v>2366.4203383589997</v>
      </c>
    </row>
    <row r="183" spans="2:7" ht="16.5" thickBot="1">
      <c r="B183" s="20" t="s">
        <v>110</v>
      </c>
      <c r="C183" s="17"/>
      <c r="D183" s="16">
        <f>982.8501984*E10</f>
        <v>1027.0784573279998</v>
      </c>
    </row>
    <row r="185" spans="2:7" ht="15.75" thickBot="1"/>
    <row r="186" spans="2:7" ht="16.5" thickBot="1">
      <c r="B186" s="66" t="s">
        <v>111</v>
      </c>
      <c r="C186" s="10"/>
      <c r="D186" s="10" t="s">
        <v>28</v>
      </c>
    </row>
    <row r="187" spans="2:7" ht="16.5" thickBot="1">
      <c r="B187" s="67" t="s">
        <v>112</v>
      </c>
      <c r="C187" s="68"/>
      <c r="D187" s="92">
        <v>225.72</v>
      </c>
    </row>
    <row r="188" spans="2:7" ht="16.5" thickBot="1">
      <c r="B188" s="67" t="s">
        <v>113</v>
      </c>
      <c r="C188" s="68"/>
      <c r="D188" s="92">
        <v>528.46</v>
      </c>
    </row>
    <row r="189" spans="2:7" ht="16.5" thickBot="1">
      <c r="B189" s="67" t="s">
        <v>114</v>
      </c>
      <c r="C189" s="68"/>
      <c r="D189" s="92">
        <v>10</v>
      </c>
    </row>
    <row r="190" spans="2:7" ht="15.75">
      <c r="B190" s="69"/>
      <c r="C190" s="69"/>
      <c r="D190" s="70"/>
    </row>
    <row r="192" spans="2:7" ht="15.75" thickBot="1">
      <c r="G192" s="99"/>
    </row>
    <row r="193" spans="2:7" ht="16.5" thickBot="1">
      <c r="B193" s="193" t="s">
        <v>115</v>
      </c>
      <c r="C193" s="194"/>
      <c r="D193" s="194"/>
      <c r="E193" s="93"/>
      <c r="F193" s="94"/>
      <c r="G193" s="99"/>
    </row>
    <row r="194" spans="2:7" ht="16.5" thickBot="1">
      <c r="B194" s="96" t="s">
        <v>116</v>
      </c>
      <c r="C194" s="12"/>
      <c r="D194" s="11" t="s">
        <v>28</v>
      </c>
      <c r="E194" s="97" t="s">
        <v>117</v>
      </c>
      <c r="F194" s="98" t="s">
        <v>118</v>
      </c>
      <c r="G194" s="100"/>
    </row>
    <row r="195" spans="2:7" ht="16.5" thickBot="1">
      <c r="B195" s="20" t="s">
        <v>119</v>
      </c>
      <c r="C195" s="17"/>
      <c r="D195" s="95">
        <v>41650.92</v>
      </c>
      <c r="E195" s="134">
        <v>44008.52</v>
      </c>
      <c r="F195" s="135">
        <v>46366.19</v>
      </c>
      <c r="G195" s="99"/>
    </row>
    <row r="196" spans="2:7" ht="16.5" thickBot="1">
      <c r="B196" s="20" t="s">
        <v>120</v>
      </c>
      <c r="C196" s="17"/>
      <c r="D196" s="71">
        <f>32500.483497*E10</f>
        <v>33963.005254365002</v>
      </c>
      <c r="G196" s="99"/>
    </row>
    <row r="198" spans="2:7" ht="15.75" thickBot="1"/>
    <row r="199" spans="2:7" ht="16.5" thickBot="1">
      <c r="B199" s="207" t="s">
        <v>121</v>
      </c>
      <c r="C199" s="208"/>
      <c r="D199" s="209"/>
    </row>
    <row r="200" spans="2:7" ht="16.5" thickBot="1">
      <c r="B200" s="32"/>
      <c r="C200" s="33"/>
      <c r="D200" s="72">
        <v>44927</v>
      </c>
    </row>
    <row r="201" spans="2:7" ht="16.5" thickBot="1">
      <c r="B201" s="20" t="s">
        <v>28</v>
      </c>
      <c r="C201" s="17"/>
      <c r="D201" s="16">
        <v>1320</v>
      </c>
    </row>
    <row r="202" spans="2:7" ht="16.5" thickBot="1">
      <c r="B202" s="20"/>
      <c r="C202" s="17"/>
      <c r="D202" s="73"/>
    </row>
    <row r="203" spans="2:7" ht="16.5" thickBot="1">
      <c r="B203" s="20"/>
      <c r="C203" s="17"/>
      <c r="D203" s="16"/>
    </row>
    <row r="209" spans="2:8" ht="15.75">
      <c r="B209" s="57"/>
      <c r="C209" s="57"/>
    </row>
    <row r="210" spans="2:8" ht="18.75">
      <c r="D210" s="74" t="s">
        <v>122</v>
      </c>
    </row>
    <row r="211" spans="2:8" ht="18.75">
      <c r="D211" s="75" t="s">
        <v>123</v>
      </c>
    </row>
    <row r="213" spans="2:8" ht="15.75" thickBot="1"/>
    <row r="214" spans="2:8" ht="48" thickBot="1">
      <c r="B214" s="66" t="s">
        <v>26</v>
      </c>
      <c r="C214" s="10"/>
      <c r="D214" s="10" t="s">
        <v>124</v>
      </c>
      <c r="E214" s="10" t="s">
        <v>125</v>
      </c>
      <c r="F214" s="10" t="s">
        <v>126</v>
      </c>
      <c r="G214" s="10" t="s">
        <v>127</v>
      </c>
      <c r="H214" s="10" t="s">
        <v>128</v>
      </c>
    </row>
    <row r="215" spans="2:8" ht="16.5" thickBot="1">
      <c r="B215" s="67" t="s">
        <v>129</v>
      </c>
      <c r="C215" s="68"/>
      <c r="D215" s="33" t="s">
        <v>80</v>
      </c>
      <c r="E215" s="76">
        <v>0.1</v>
      </c>
      <c r="F215" s="76">
        <v>0.15</v>
      </c>
      <c r="G215" s="76">
        <v>0.2</v>
      </c>
      <c r="H215" s="76">
        <v>0.25</v>
      </c>
    </row>
    <row r="216" spans="2:8" ht="16.5" thickBot="1">
      <c r="B216" s="67" t="s">
        <v>130</v>
      </c>
      <c r="C216" s="68"/>
      <c r="D216" s="33" t="s">
        <v>80</v>
      </c>
      <c r="E216" s="76">
        <v>0.1</v>
      </c>
      <c r="F216" s="76">
        <v>0.15</v>
      </c>
      <c r="G216" s="33" t="s">
        <v>80</v>
      </c>
      <c r="H216" s="33" t="s">
        <v>80</v>
      </c>
    </row>
    <row r="217" spans="2:8" ht="16.5" thickBot="1">
      <c r="B217" s="67" t="s">
        <v>131</v>
      </c>
      <c r="C217" s="68"/>
      <c r="D217" s="76">
        <v>0.05</v>
      </c>
      <c r="E217" s="76">
        <v>0.1</v>
      </c>
      <c r="F217" s="33" t="s">
        <v>80</v>
      </c>
      <c r="G217" s="33" t="s">
        <v>80</v>
      </c>
      <c r="H217" s="33" t="s">
        <v>80</v>
      </c>
    </row>
    <row r="218" spans="2:8" ht="15.75">
      <c r="B218" s="69"/>
      <c r="C218" s="69"/>
      <c r="D218" s="101"/>
      <c r="E218" s="101"/>
      <c r="F218" s="102"/>
      <c r="G218" s="102"/>
      <c r="H218" s="102"/>
    </row>
    <row r="219" spans="2:8" ht="16.5" thickBot="1">
      <c r="B219" s="69"/>
      <c r="C219" s="69"/>
      <c r="D219" s="101"/>
      <c r="E219" s="101"/>
      <c r="F219" s="102"/>
      <c r="G219" s="102"/>
      <c r="H219" s="102"/>
    </row>
    <row r="220" spans="2:8" ht="32.25" thickBot="1">
      <c r="B220" s="66" t="s">
        <v>26</v>
      </c>
      <c r="C220" s="10"/>
      <c r="D220" s="10" t="s">
        <v>132</v>
      </c>
      <c r="E220" s="106" t="s">
        <v>133</v>
      </c>
      <c r="F220" s="102"/>
      <c r="G220" s="102"/>
      <c r="H220" s="102"/>
    </row>
    <row r="221" spans="2:8" ht="47.25" thickBot="1">
      <c r="B221" s="67" t="s">
        <v>134</v>
      </c>
      <c r="C221" s="68"/>
      <c r="D221" s="105">
        <v>16</v>
      </c>
      <c r="E221" s="103">
        <v>1.2</v>
      </c>
      <c r="F221" s="102"/>
      <c r="G221" s="102"/>
      <c r="H221" s="102"/>
    </row>
    <row r="222" spans="2:8" ht="31.5" thickBot="1">
      <c r="B222" s="67" t="s">
        <v>135</v>
      </c>
      <c r="C222" s="68"/>
      <c r="D222" s="105">
        <v>44</v>
      </c>
      <c r="E222" s="104">
        <v>0.5</v>
      </c>
      <c r="F222" s="102"/>
      <c r="G222" s="102"/>
      <c r="H222" s="102"/>
    </row>
    <row r="225" spans="2:9" ht="15.75" thickBot="1"/>
    <row r="226" spans="2:9" ht="16.5" thickBot="1">
      <c r="B226" s="66" t="s">
        <v>26</v>
      </c>
      <c r="C226" s="10"/>
      <c r="D226" s="10" t="s">
        <v>28</v>
      </c>
    </row>
    <row r="227" spans="2:9" ht="31.5" thickBot="1">
      <c r="B227" s="67" t="s">
        <v>136</v>
      </c>
      <c r="C227" s="68"/>
      <c r="D227" s="16">
        <f>2846.86*E10</f>
        <v>2974.9686999999999</v>
      </c>
      <c r="F227" s="69"/>
    </row>
    <row r="228" spans="2:9" ht="47.25" thickBot="1">
      <c r="B228" s="67" t="s">
        <v>134</v>
      </c>
      <c r="C228" s="68"/>
      <c r="D228" s="16">
        <f>6838.92*E10</f>
        <v>7146.6713999999993</v>
      </c>
    </row>
    <row r="229" spans="2:9" ht="16.5" thickBot="1">
      <c r="B229" s="32" t="s">
        <v>80</v>
      </c>
      <c r="C229" s="33"/>
      <c r="D229" s="33" t="s">
        <v>80</v>
      </c>
    </row>
    <row r="238" spans="2:9">
      <c r="B238" s="214"/>
      <c r="C238" s="214"/>
      <c r="D238" s="214"/>
      <c r="E238" s="214"/>
      <c r="F238" s="214"/>
      <c r="G238" s="214"/>
      <c r="H238" s="214"/>
      <c r="I238" s="214"/>
    </row>
    <row r="239" spans="2:9">
      <c r="B239" s="215"/>
      <c r="C239" s="215"/>
      <c r="D239" s="215"/>
      <c r="E239" s="215"/>
      <c r="F239" s="215"/>
      <c r="G239" s="215"/>
      <c r="H239" s="215"/>
      <c r="I239" s="215"/>
    </row>
    <row r="240" spans="2:9" ht="15.75" thickBot="1"/>
    <row r="241" spans="2:5" ht="16.5" thickBot="1">
      <c r="B241" s="216" t="s">
        <v>119</v>
      </c>
      <c r="C241" s="217"/>
      <c r="D241" s="217"/>
      <c r="E241" s="218"/>
    </row>
    <row r="242" spans="2:5" ht="16.5" thickBot="1">
      <c r="B242" s="20" t="s">
        <v>26</v>
      </c>
      <c r="C242" s="17"/>
      <c r="D242" s="17" t="s">
        <v>137</v>
      </c>
      <c r="E242" s="17" t="s">
        <v>28</v>
      </c>
    </row>
    <row r="243" spans="2:5" ht="16.5" thickBot="1">
      <c r="B243" s="20" t="s">
        <v>138</v>
      </c>
      <c r="C243" s="17"/>
      <c r="D243" s="17" t="s">
        <v>12</v>
      </c>
      <c r="E243" s="16">
        <f>21080.3662512*E10</f>
        <v>22028.982732503999</v>
      </c>
    </row>
    <row r="244" spans="2:5" ht="16.5" thickBot="1">
      <c r="B244" s="20" t="s">
        <v>138</v>
      </c>
      <c r="C244" s="17"/>
      <c r="D244" s="17" t="s">
        <v>11</v>
      </c>
      <c r="E244" s="16">
        <f>18856.0598922*E10</f>
        <v>19704.582587348999</v>
      </c>
    </row>
    <row r="245" spans="2:5" ht="16.5" thickBot="1">
      <c r="B245" s="20" t="s">
        <v>138</v>
      </c>
      <c r="C245" s="17"/>
      <c r="D245" s="17" t="s">
        <v>10</v>
      </c>
      <c r="E245" s="16">
        <f>16560.878301*E10</f>
        <v>17306.117824544999</v>
      </c>
    </row>
    <row r="248" spans="2:5" ht="15.75" thickBot="1"/>
    <row r="249" spans="2:5" ht="16.5" thickBot="1">
      <c r="B249" s="78" t="s">
        <v>139</v>
      </c>
      <c r="C249" s="77"/>
      <c r="D249" s="77" t="s">
        <v>140</v>
      </c>
    </row>
    <row r="250" spans="2:5" ht="16.5" thickBot="1">
      <c r="B250" s="20" t="s">
        <v>141</v>
      </c>
      <c r="C250" s="17"/>
      <c r="D250" s="16">
        <f>16560.878301*E10</f>
        <v>17306.117824544999</v>
      </c>
    </row>
    <row r="251" spans="2:5" ht="16.5" thickBot="1">
      <c r="B251" s="20" t="s">
        <v>142</v>
      </c>
      <c r="C251" s="17"/>
      <c r="D251" s="16">
        <f>17708.4690966*E10</f>
        <v>18505.350205947001</v>
      </c>
    </row>
    <row r="252" spans="2:5" ht="16.5" thickBot="1">
      <c r="B252" s="79" t="s">
        <v>143</v>
      </c>
      <c r="C252" s="80"/>
      <c r="D252" s="16">
        <f>18856.0598922*E10</f>
        <v>19704.582587348999</v>
      </c>
    </row>
    <row r="253" spans="2:5" ht="16.5" thickBot="1">
      <c r="B253" s="79" t="s">
        <v>144</v>
      </c>
      <c r="C253" s="80"/>
      <c r="D253" s="16">
        <f>19968.218577*E10</f>
        <v>20866.788412964997</v>
      </c>
    </row>
    <row r="254" spans="2:5" ht="16.5" thickBot="1">
      <c r="B254" s="20" t="s">
        <v>145</v>
      </c>
      <c r="C254" s="17"/>
      <c r="D254" s="16">
        <f>21080.3662512*E10</f>
        <v>22028.982732503999</v>
      </c>
    </row>
    <row r="255" spans="2:5" ht="15.75">
      <c r="B255" s="30"/>
      <c r="C255" s="30"/>
      <c r="D255" s="81"/>
    </row>
    <row r="256" spans="2:5" ht="15.75">
      <c r="B256" s="30"/>
      <c r="C256" s="30"/>
      <c r="D256" s="81"/>
    </row>
    <row r="257" spans="2:4" ht="15.75">
      <c r="B257" s="30"/>
      <c r="C257" s="30"/>
      <c r="D257" s="81"/>
    </row>
    <row r="258" spans="2:4" ht="15.75">
      <c r="B258" s="30"/>
      <c r="C258" s="30"/>
      <c r="D258" s="81"/>
    </row>
    <row r="259" spans="2:4" ht="15.75">
      <c r="B259" s="30"/>
      <c r="C259" s="30"/>
      <c r="D259" s="81"/>
    </row>
    <row r="260" spans="2:4" ht="15.75">
      <c r="B260" s="30"/>
      <c r="C260" s="30"/>
      <c r="D260" s="81"/>
    </row>
    <row r="261" spans="2:4" ht="15.75">
      <c r="B261" s="30"/>
      <c r="C261" s="30"/>
      <c r="D261" s="81"/>
    </row>
    <row r="262" spans="2:4" ht="15.75">
      <c r="B262" s="30"/>
      <c r="C262" s="30"/>
      <c r="D262" s="81"/>
    </row>
    <row r="263" spans="2:4" ht="15.75">
      <c r="B263" s="30"/>
      <c r="C263" s="30"/>
      <c r="D263" s="81"/>
    </row>
    <row r="264" spans="2:4" ht="15.75">
      <c r="B264" s="30"/>
      <c r="C264" s="30"/>
      <c r="D264" s="81"/>
    </row>
    <row r="265" spans="2:4" ht="15.75">
      <c r="B265" s="30"/>
      <c r="C265" s="30"/>
      <c r="D265" s="81"/>
    </row>
    <row r="266" spans="2:4" ht="15.75">
      <c r="B266" s="30"/>
      <c r="C266" s="30"/>
      <c r="D266" s="81"/>
    </row>
    <row r="267" spans="2:4" ht="15.75">
      <c r="B267" s="30"/>
      <c r="C267" s="30"/>
      <c r="D267" s="81"/>
    </row>
    <row r="274" spans="2:9">
      <c r="B274" s="214"/>
      <c r="C274" s="214"/>
      <c r="D274" s="214"/>
      <c r="E274" s="214"/>
      <c r="F274" s="214"/>
      <c r="G274" s="214"/>
      <c r="H274" s="214"/>
      <c r="I274" s="214"/>
    </row>
    <row r="275" spans="2:9" ht="15.75" thickBot="1">
      <c r="B275" s="215"/>
      <c r="C275" s="215"/>
      <c r="D275" s="215"/>
      <c r="E275" s="215"/>
      <c r="F275" s="215"/>
      <c r="G275" s="215"/>
      <c r="H275" s="215"/>
      <c r="I275" s="215"/>
    </row>
    <row r="276" spans="2:9" ht="34.5" customHeight="1" thickBot="1">
      <c r="B276" s="140" t="s">
        <v>146</v>
      </c>
      <c r="C276" s="141"/>
      <c r="D276" s="141"/>
      <c r="E276" s="141"/>
      <c r="F276" s="142"/>
    </row>
    <row r="277" spans="2:9" ht="19.5" thickBot="1">
      <c r="B277" s="41"/>
      <c r="C277" s="41"/>
      <c r="D277" s="211" t="s">
        <v>147</v>
      </c>
      <c r="E277" s="82" t="s">
        <v>10</v>
      </c>
      <c r="F277" s="83">
        <f>12111.2636184*E10</f>
        <v>12656.270481227999</v>
      </c>
    </row>
    <row r="278" spans="2:9" ht="19.5" thickBot="1">
      <c r="B278" s="43"/>
      <c r="C278" s="43"/>
      <c r="D278" s="212"/>
      <c r="E278" s="46" t="s">
        <v>11</v>
      </c>
      <c r="F278" s="83">
        <f>11689.788861*E10</f>
        <v>12215.829359744999</v>
      </c>
    </row>
    <row r="279" spans="2:9" ht="19.5" thickBot="1">
      <c r="B279" s="84"/>
      <c r="C279" s="84"/>
      <c r="D279" s="213"/>
      <c r="E279" s="46" t="s">
        <v>12</v>
      </c>
      <c r="F279" s="83">
        <f>11270.7474462*E10</f>
        <v>11777.931081278999</v>
      </c>
    </row>
    <row r="280" spans="2:9" ht="19.5" thickBot="1">
      <c r="B280" s="85"/>
      <c r="C280" s="85"/>
      <c r="D280" s="211" t="s">
        <v>13</v>
      </c>
      <c r="E280" s="46" t="s">
        <v>10</v>
      </c>
      <c r="F280" s="83">
        <f>10851.6950208*E10</f>
        <v>11340.021296735998</v>
      </c>
    </row>
    <row r="281" spans="2:9" ht="19.5" thickBot="1">
      <c r="B281" s="84"/>
      <c r="C281" s="84"/>
      <c r="D281" s="212"/>
      <c r="E281" s="46" t="s">
        <v>11</v>
      </c>
      <c r="F281" s="83">
        <f>10432.6425954*E10</f>
        <v>10902.111512193</v>
      </c>
    </row>
    <row r="282" spans="2:9" ht="42.75" thickBot="1">
      <c r="B282" s="86" t="s">
        <v>148</v>
      </c>
      <c r="C282" s="86"/>
      <c r="D282" s="213"/>
      <c r="E282" s="46" t="s">
        <v>12</v>
      </c>
      <c r="F282" s="83">
        <f>10013.59017*E10</f>
        <v>10464.201727649999</v>
      </c>
    </row>
    <row r="283" spans="2:9" ht="21.75" thickBot="1">
      <c r="B283" s="86" t="s">
        <v>149</v>
      </c>
      <c r="C283" s="86"/>
      <c r="D283" s="211" t="s">
        <v>14</v>
      </c>
      <c r="E283" s="46" t="s">
        <v>10</v>
      </c>
      <c r="F283" s="83">
        <f>9594.5377446*E10</f>
        <v>10026.291943107</v>
      </c>
    </row>
    <row r="284" spans="2:9" ht="19.5" thickBot="1">
      <c r="B284" s="87"/>
      <c r="C284" s="87"/>
      <c r="D284" s="212"/>
      <c r="E284" s="46" t="s">
        <v>11</v>
      </c>
      <c r="F284" s="83">
        <f>9175.4963298*E10</f>
        <v>9588.3936646410002</v>
      </c>
    </row>
    <row r="285" spans="2:9" ht="19.5" thickBot="1">
      <c r="B285" s="87"/>
      <c r="C285" s="87"/>
      <c r="D285" s="213"/>
      <c r="E285" s="46" t="s">
        <v>12</v>
      </c>
      <c r="F285" s="83">
        <f>8756.4439044*E10</f>
        <v>9150.4838800979978</v>
      </c>
    </row>
    <row r="286" spans="2:9" ht="19.5" thickBot="1">
      <c r="B286" s="87"/>
      <c r="C286" s="88"/>
      <c r="D286" s="42"/>
      <c r="E286" s="46" t="s">
        <v>38</v>
      </c>
      <c r="F286" s="83">
        <f>8337.391479*E10</f>
        <v>8712.5740955549991</v>
      </c>
    </row>
    <row r="287" spans="2:9" ht="19.5" thickBot="1">
      <c r="B287" s="87"/>
      <c r="C287" s="88"/>
      <c r="D287" s="42" t="s">
        <v>15</v>
      </c>
      <c r="E287" s="46" t="s">
        <v>9</v>
      </c>
      <c r="F287" s="83">
        <v>8274.66</v>
      </c>
    </row>
    <row r="288" spans="2:9" ht="19.5" thickBot="1">
      <c r="B288" s="87"/>
      <c r="C288" s="88"/>
      <c r="D288" s="88"/>
      <c r="E288" s="46" t="s">
        <v>10</v>
      </c>
      <c r="F288" s="83">
        <f>7499.2866282*E10</f>
        <v>7836.7545264689998</v>
      </c>
    </row>
    <row r="289" spans="2:6" ht="19.5" thickBot="1">
      <c r="B289" s="87"/>
      <c r="C289" s="88"/>
      <c r="D289" s="88"/>
      <c r="E289" s="46" t="s">
        <v>11</v>
      </c>
      <c r="F289" s="83">
        <f>7080.2452134*E10</f>
        <v>7398.8562480029987</v>
      </c>
    </row>
    <row r="290" spans="2:6" ht="19.5" thickBot="1">
      <c r="B290" s="89"/>
      <c r="C290" s="90"/>
      <c r="D290" s="90"/>
      <c r="E290" s="46" t="s">
        <v>12</v>
      </c>
      <c r="F290" s="83">
        <f>6661.192788*E10</f>
        <v>6960.9464634599999</v>
      </c>
    </row>
    <row r="303" spans="2:6" ht="18.75">
      <c r="B303" s="107"/>
      <c r="C303" s="107"/>
      <c r="D303" s="107"/>
      <c r="E303" s="108"/>
      <c r="F303" s="109"/>
    </row>
    <row r="304" spans="2:6" ht="18.75">
      <c r="B304" s="107"/>
      <c r="C304" s="107"/>
      <c r="D304" s="107"/>
      <c r="E304" s="108"/>
      <c r="F304" s="109"/>
    </row>
    <row r="305" spans="2:6" ht="15" customHeight="1" thickBot="1">
      <c r="F305" s="74"/>
    </row>
    <row r="306" spans="2:6" ht="19.5" hidden="1" thickBot="1">
      <c r="F306" s="75"/>
    </row>
    <row r="307" spans="2:6" ht="34.5" customHeight="1" thickBot="1">
      <c r="B307" s="181" t="s">
        <v>150</v>
      </c>
      <c r="C307" s="182"/>
      <c r="D307" s="182"/>
      <c r="E307" s="182"/>
      <c r="F307" s="183"/>
    </row>
    <row r="308" spans="2:6" ht="38.25" customHeight="1" thickBot="1">
      <c r="B308" s="184" t="s">
        <v>151</v>
      </c>
      <c r="C308" s="185"/>
      <c r="D308" s="185"/>
      <c r="E308" s="185"/>
      <c r="F308" s="186"/>
    </row>
    <row r="309" spans="2:6" ht="15.75" thickBot="1">
      <c r="B309" s="110" t="s">
        <v>64</v>
      </c>
      <c r="C309" s="111" t="s">
        <v>152</v>
      </c>
      <c r="D309" s="111" t="s">
        <v>67</v>
      </c>
      <c r="E309" s="111" t="s">
        <v>68</v>
      </c>
      <c r="F309" s="112" t="s">
        <v>153</v>
      </c>
    </row>
    <row r="310" spans="2:6" ht="18.75">
      <c r="B310" s="113" t="s">
        <v>154</v>
      </c>
      <c r="C310" s="114">
        <v>6750</v>
      </c>
      <c r="D310" s="115" t="s">
        <v>155</v>
      </c>
      <c r="E310" s="116">
        <v>0</v>
      </c>
      <c r="F310" s="117">
        <v>14107.5</v>
      </c>
    </row>
    <row r="311" spans="2:6" ht="18.75">
      <c r="B311" s="118" t="s">
        <v>156</v>
      </c>
      <c r="C311" s="119">
        <v>4569.2299999999996</v>
      </c>
      <c r="D311" s="120" t="s">
        <v>157</v>
      </c>
      <c r="E311" s="138" t="s">
        <v>158</v>
      </c>
      <c r="F311" s="139">
        <v>11937.11</v>
      </c>
    </row>
    <row r="312" spans="2:6" ht="18.75">
      <c r="B312" s="118" t="s">
        <v>159</v>
      </c>
      <c r="C312" s="119">
        <v>3738.67</v>
      </c>
      <c r="D312" s="121" t="s">
        <v>160</v>
      </c>
      <c r="E312" s="121" t="s">
        <v>161</v>
      </c>
      <c r="F312" s="122">
        <v>9767.2800000000007</v>
      </c>
    </row>
    <row r="313" spans="2:6" ht="18.75">
      <c r="B313" s="118" t="s">
        <v>162</v>
      </c>
      <c r="C313" s="119">
        <v>2907.69</v>
      </c>
      <c r="D313" s="121" t="s">
        <v>163</v>
      </c>
      <c r="E313" s="121" t="s">
        <v>164</v>
      </c>
      <c r="F313" s="122">
        <v>7596.35</v>
      </c>
    </row>
    <row r="314" spans="2:6" ht="19.5" thickBot="1">
      <c r="B314" s="123" t="s">
        <v>165</v>
      </c>
      <c r="C314" s="124">
        <v>1661.53</v>
      </c>
      <c r="D314" s="125" t="s">
        <v>166</v>
      </c>
      <c r="E314" s="125" t="s">
        <v>167</v>
      </c>
      <c r="F314" s="126">
        <v>4340.75</v>
      </c>
    </row>
    <row r="315" spans="2:6" ht="15.75" thickBot="1"/>
    <row r="316" spans="2:6" ht="16.5" thickBot="1">
      <c r="B316" s="181" t="s">
        <v>150</v>
      </c>
      <c r="C316" s="182"/>
      <c r="D316" s="182"/>
      <c r="E316" s="182"/>
      <c r="F316" s="183"/>
    </row>
    <row r="317" spans="2:6" ht="16.5" thickBot="1">
      <c r="B317" s="187" t="s">
        <v>168</v>
      </c>
      <c r="C317" s="188"/>
      <c r="D317" s="188"/>
      <c r="E317" s="188"/>
      <c r="F317" s="189"/>
    </row>
    <row r="318" spans="2:6">
      <c r="B318" s="127" t="s">
        <v>64</v>
      </c>
      <c r="C318" s="128" t="s">
        <v>152</v>
      </c>
      <c r="D318" s="128" t="s">
        <v>67</v>
      </c>
      <c r="E318" s="128" t="s">
        <v>68</v>
      </c>
      <c r="F318" s="129" t="s">
        <v>153</v>
      </c>
    </row>
    <row r="319" spans="2:6" ht="18.75">
      <c r="B319" s="118" t="s">
        <v>169</v>
      </c>
      <c r="C319" s="119">
        <v>6750</v>
      </c>
      <c r="D319" s="120" t="s">
        <v>170</v>
      </c>
      <c r="E319" s="121" t="s">
        <v>171</v>
      </c>
      <c r="F319" s="122">
        <v>10016.33</v>
      </c>
    </row>
    <row r="320" spans="2:6" ht="19.5" thickBot="1">
      <c r="B320" s="123" t="s">
        <v>172</v>
      </c>
      <c r="C320" s="124">
        <v>4569.2299999999996</v>
      </c>
      <c r="D320" s="130" t="s">
        <v>173</v>
      </c>
      <c r="E320" s="125" t="s">
        <v>174</v>
      </c>
      <c r="F320" s="126">
        <v>5925.15</v>
      </c>
    </row>
    <row r="321" spans="2:6" ht="18.75">
      <c r="B321" s="147"/>
      <c r="C321" s="176"/>
      <c r="D321" s="150"/>
      <c r="E321" s="151"/>
      <c r="F321" s="150"/>
    </row>
    <row r="322" spans="2:6" ht="18.75">
      <c r="B322" s="147"/>
      <c r="C322" s="176"/>
      <c r="D322" s="150"/>
      <c r="E322" s="151"/>
      <c r="F322" s="150"/>
    </row>
    <row r="323" spans="2:6" ht="18.75">
      <c r="B323" s="147"/>
      <c r="C323" s="176"/>
      <c r="D323" s="150"/>
      <c r="E323" s="151"/>
      <c r="F323" s="150"/>
    </row>
    <row r="324" spans="2:6" ht="18.75">
      <c r="B324" s="147"/>
      <c r="C324" s="176"/>
      <c r="D324" s="150"/>
      <c r="E324" s="151"/>
      <c r="F324" s="150"/>
    </row>
    <row r="325" spans="2:6" ht="18.75">
      <c r="B325" s="147"/>
      <c r="C325" s="176"/>
      <c r="D325" s="150"/>
      <c r="E325" s="151"/>
      <c r="F325" s="150"/>
    </row>
    <row r="326" spans="2:6" ht="18.75">
      <c r="B326" s="147"/>
      <c r="C326" s="176"/>
      <c r="D326" s="150"/>
      <c r="E326" s="151"/>
      <c r="F326" s="150"/>
    </row>
    <row r="327" spans="2:6" ht="18.75">
      <c r="B327" s="147"/>
      <c r="C327" s="176"/>
      <c r="D327" s="150"/>
      <c r="E327" s="151"/>
      <c r="F327" s="150"/>
    </row>
    <row r="328" spans="2:6" ht="18.75">
      <c r="B328" s="147"/>
      <c r="C328" s="176"/>
      <c r="D328" s="150"/>
      <c r="E328" s="151"/>
      <c r="F328" s="150"/>
    </row>
    <row r="329" spans="2:6" ht="18.75">
      <c r="B329" s="147"/>
      <c r="C329" s="176"/>
      <c r="D329" s="150"/>
      <c r="E329" s="151"/>
      <c r="F329" s="150"/>
    </row>
    <row r="330" spans="2:6" ht="18.75">
      <c r="B330" s="147"/>
      <c r="C330" s="176"/>
      <c r="D330" s="150"/>
      <c r="E330" s="151"/>
      <c r="F330" s="150"/>
    </row>
    <row r="331" spans="2:6" ht="18.75">
      <c r="B331" s="147"/>
      <c r="C331" s="176"/>
      <c r="D331" s="150"/>
      <c r="E331" s="151"/>
      <c r="F331" s="150"/>
    </row>
    <row r="332" spans="2:6" ht="18.75">
      <c r="B332" s="147"/>
      <c r="C332" s="176"/>
      <c r="D332" s="150"/>
      <c r="E332" s="151"/>
      <c r="F332" s="150"/>
    </row>
    <row r="333" spans="2:6" ht="18.75">
      <c r="B333" s="147"/>
      <c r="C333" s="176"/>
      <c r="D333" s="150"/>
      <c r="E333" s="151"/>
      <c r="F333" s="150"/>
    </row>
    <row r="334" spans="2:6" ht="18.75">
      <c r="B334" s="147"/>
      <c r="C334" s="176"/>
      <c r="D334" s="150"/>
      <c r="E334" s="151"/>
      <c r="F334" s="150"/>
    </row>
    <row r="335" spans="2:6" ht="18.75">
      <c r="B335" s="147"/>
      <c r="C335" s="176"/>
      <c r="D335" s="150"/>
      <c r="E335" s="151"/>
      <c r="F335" s="150"/>
    </row>
    <row r="336" spans="2:6" ht="18.75">
      <c r="B336" s="147"/>
      <c r="C336" s="176"/>
      <c r="D336" s="150"/>
      <c r="E336" s="151"/>
      <c r="F336" s="150"/>
    </row>
    <row r="338" spans="2:6" ht="15.75" thickBot="1"/>
    <row r="339" spans="2:6" ht="16.5" thickBot="1">
      <c r="B339" s="181" t="s">
        <v>175</v>
      </c>
      <c r="C339" s="182"/>
      <c r="D339" s="182"/>
      <c r="E339" s="182"/>
      <c r="F339" s="183"/>
    </row>
    <row r="340" spans="2:6" ht="16.5" thickBot="1">
      <c r="B340" s="184" t="s">
        <v>176</v>
      </c>
      <c r="C340" s="185"/>
      <c r="D340" s="185"/>
      <c r="E340" s="185"/>
      <c r="F340" s="186"/>
    </row>
    <row r="341" spans="2:6" ht="15.75" thickBot="1">
      <c r="B341" s="179" t="s">
        <v>26</v>
      </c>
      <c r="C341" s="178" t="s">
        <v>152</v>
      </c>
      <c r="D341" s="179" t="s">
        <v>137</v>
      </c>
      <c r="E341" s="179" t="s">
        <v>27</v>
      </c>
      <c r="F341" s="180" t="s">
        <v>140</v>
      </c>
    </row>
    <row r="342" spans="2:6" ht="18.75">
      <c r="B342" s="163"/>
      <c r="C342" s="148"/>
      <c r="D342" s="167"/>
      <c r="E342" s="168" t="s">
        <v>10</v>
      </c>
      <c r="F342" s="169">
        <v>10450</v>
      </c>
    </row>
    <row r="343" spans="2:6" ht="18.75">
      <c r="B343" s="164"/>
      <c r="C343" s="148"/>
      <c r="D343" s="170" t="s">
        <v>147</v>
      </c>
      <c r="E343" s="171" t="s">
        <v>11</v>
      </c>
      <c r="F343" s="172">
        <v>10086.34</v>
      </c>
    </row>
    <row r="344" spans="2:6" ht="19.5" thickBot="1">
      <c r="B344" s="164"/>
      <c r="C344" s="148"/>
      <c r="D344" s="173"/>
      <c r="E344" s="174" t="s">
        <v>12</v>
      </c>
      <c r="F344" s="175">
        <v>9724.77</v>
      </c>
    </row>
    <row r="345" spans="2:6" ht="18.75">
      <c r="B345" s="164"/>
      <c r="C345" s="145"/>
      <c r="D345" s="162"/>
      <c r="E345" s="152" t="s">
        <v>10</v>
      </c>
      <c r="F345" s="153">
        <v>9363.2000000000007</v>
      </c>
    </row>
    <row r="346" spans="2:6" ht="18.75">
      <c r="B346" s="165" t="s">
        <v>177</v>
      </c>
      <c r="C346" s="145"/>
      <c r="D346" s="157" t="s">
        <v>13</v>
      </c>
      <c r="E346" s="149" t="s">
        <v>11</v>
      </c>
      <c r="F346" s="122">
        <v>9001.6299999999992</v>
      </c>
    </row>
    <row r="347" spans="2:6" ht="16.5" thickBot="1">
      <c r="B347" s="156"/>
      <c r="C347" s="146"/>
      <c r="D347" s="161"/>
      <c r="E347" s="159" t="s">
        <v>12</v>
      </c>
      <c r="F347" s="177">
        <v>8640.06</v>
      </c>
    </row>
    <row r="348" spans="2:6" ht="15.75">
      <c r="B348" s="156"/>
      <c r="C348" s="146"/>
      <c r="D348" s="167"/>
      <c r="E348" s="168" t="s">
        <v>10</v>
      </c>
      <c r="F348" s="169">
        <v>8278.49</v>
      </c>
    </row>
    <row r="349" spans="2:6" ht="15.75">
      <c r="B349" s="156"/>
      <c r="C349" s="146"/>
      <c r="D349" s="170" t="s">
        <v>14</v>
      </c>
      <c r="E349" s="171" t="s">
        <v>11</v>
      </c>
      <c r="F349" s="172">
        <v>7916.92</v>
      </c>
    </row>
    <row r="350" spans="2:6" ht="16.5" thickBot="1">
      <c r="B350" s="165"/>
      <c r="C350" s="146"/>
      <c r="D350" s="173"/>
      <c r="E350" s="174" t="s">
        <v>12</v>
      </c>
      <c r="F350" s="175">
        <v>7555.35</v>
      </c>
    </row>
    <row r="351" spans="2:6" ht="15.75">
      <c r="B351" s="156"/>
      <c r="C351" s="155"/>
      <c r="D351" s="156"/>
      <c r="E351" s="160" t="s">
        <v>38</v>
      </c>
      <c r="F351" s="117">
        <v>7193.78</v>
      </c>
    </row>
    <row r="352" spans="2:6" ht="15.75">
      <c r="B352" s="156"/>
      <c r="C352" s="155"/>
      <c r="D352" s="156"/>
      <c r="E352" s="160" t="s">
        <v>9</v>
      </c>
      <c r="F352" s="122">
        <v>6832.21</v>
      </c>
    </row>
    <row r="353" spans="2:6" ht="15.75">
      <c r="B353" s="156"/>
      <c r="C353" s="155"/>
      <c r="D353" s="157" t="s">
        <v>15</v>
      </c>
      <c r="E353" s="160" t="s">
        <v>10</v>
      </c>
      <c r="F353" s="122">
        <v>6470.64</v>
      </c>
    </row>
    <row r="354" spans="2:6" ht="15.75">
      <c r="B354" s="156"/>
      <c r="C354" s="155"/>
      <c r="D354" s="157"/>
      <c r="E354" s="149" t="s">
        <v>11</v>
      </c>
      <c r="F354" s="122">
        <v>6109.07</v>
      </c>
    </row>
    <row r="355" spans="2:6" ht="16.5" thickBot="1">
      <c r="B355" s="166"/>
      <c r="C355" s="155"/>
      <c r="D355" s="158"/>
      <c r="E355" s="154" t="s">
        <v>12</v>
      </c>
      <c r="F355" s="126">
        <v>5747.5</v>
      </c>
    </row>
    <row r="356" spans="2:6">
      <c r="C356" s="155"/>
    </row>
    <row r="357" spans="2:6">
      <c r="C357" s="155"/>
    </row>
    <row r="358" spans="2:6">
      <c r="C358" s="155"/>
    </row>
  </sheetData>
  <mergeCells count="62">
    <mergeCell ref="J135:J136"/>
    <mergeCell ref="K135:K136"/>
    <mergeCell ref="L135:L136"/>
    <mergeCell ref="B137:B139"/>
    <mergeCell ref="D137:D139"/>
    <mergeCell ref="E137:E139"/>
    <mergeCell ref="F137:F139"/>
    <mergeCell ref="G137:G139"/>
    <mergeCell ref="H137:H139"/>
    <mergeCell ref="I137:I139"/>
    <mergeCell ref="J137:J139"/>
    <mergeCell ref="B27:H27"/>
    <mergeCell ref="B28:D28"/>
    <mergeCell ref="E28:F28"/>
    <mergeCell ref="G28:H28"/>
    <mergeCell ref="D111:D112"/>
    <mergeCell ref="B38:E38"/>
    <mergeCell ref="B49:I49"/>
    <mergeCell ref="B50:I50"/>
    <mergeCell ref="B110:D110"/>
    <mergeCell ref="B60:I60"/>
    <mergeCell ref="D61:I61"/>
    <mergeCell ref="B73:D73"/>
    <mergeCell ref="B74:D74"/>
    <mergeCell ref="B85:D85"/>
    <mergeCell ref="B86:D86"/>
    <mergeCell ref="B98:D98"/>
    <mergeCell ref="B19:H19"/>
    <mergeCell ref="B20:D20"/>
    <mergeCell ref="B21:D21"/>
    <mergeCell ref="B22:D22"/>
    <mergeCell ref="B23:D23"/>
    <mergeCell ref="A5:H5"/>
    <mergeCell ref="A6:H6"/>
    <mergeCell ref="A8:G8"/>
    <mergeCell ref="B13:B14"/>
    <mergeCell ref="D13:D14"/>
    <mergeCell ref="B180:D180"/>
    <mergeCell ref="B155:G155"/>
    <mergeCell ref="B156:G156"/>
    <mergeCell ref="D283:D285"/>
    <mergeCell ref="B193:D193"/>
    <mergeCell ref="B199:D199"/>
    <mergeCell ref="D277:D279"/>
    <mergeCell ref="D280:D282"/>
    <mergeCell ref="B238:I238"/>
    <mergeCell ref="B239:I239"/>
    <mergeCell ref="B241:E241"/>
    <mergeCell ref="B274:I274"/>
    <mergeCell ref="B275:I275"/>
    <mergeCell ref="D51:I51"/>
    <mergeCell ref="B109:D109"/>
    <mergeCell ref="B135:B136"/>
    <mergeCell ref="D135:D136"/>
    <mergeCell ref="E135:I136"/>
    <mergeCell ref="B99:D99"/>
    <mergeCell ref="B339:F339"/>
    <mergeCell ref="B340:F340"/>
    <mergeCell ref="B307:F307"/>
    <mergeCell ref="B308:F308"/>
    <mergeCell ref="B316:F316"/>
    <mergeCell ref="B317:F317"/>
  </mergeCells>
  <pageMargins left="0" right="0" top="0.78740157480314965" bottom="0.78740157480314965" header="0.31496062992125984" footer="0.31496062992125984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g xmlns="ac588bd9-4874-42a8-aa7b-42b3a1a90466" xsi:nil="true"/>
    <_ip_UnifiedCompliancePolicyProperties xmlns="http://schemas.microsoft.com/sharepoint/v3" xsi:nil="true"/>
    <TaxCatchAll xmlns="697d8711-9bd3-4648-b396-b2feead7a984" xsi:nil="true"/>
    <lcf76f155ced4ddcb4097134ff3c332f xmlns="ac588bd9-4874-42a8-aa7b-42b3a1a90466">
      <Terms xmlns="http://schemas.microsoft.com/office/infopath/2007/PartnerControls"/>
    </lcf76f155ced4ddcb4097134ff3c332f>
    <Observa_x00e7__x00e3_o xmlns="ac588bd9-4874-42a8-aa7b-42b3a1a904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48BAA1F3F06F428903843101615C91" ma:contentTypeVersion="21" ma:contentTypeDescription="Crie um novo documento." ma:contentTypeScope="" ma:versionID="acf79bbbaa58bfa22828440a95762321">
  <xsd:schema xmlns:xsd="http://www.w3.org/2001/XMLSchema" xmlns:xs="http://www.w3.org/2001/XMLSchema" xmlns:p="http://schemas.microsoft.com/office/2006/metadata/properties" xmlns:ns1="http://schemas.microsoft.com/sharepoint/v3" xmlns:ns2="ac588bd9-4874-42a8-aa7b-42b3a1a90466" xmlns:ns3="697d8711-9bd3-4648-b396-b2feead7a984" targetNamespace="http://schemas.microsoft.com/office/2006/metadata/properties" ma:root="true" ma:fieldsID="c78d26d7137381e5f84f3417a612ee1b" ns1:_="" ns2:_="" ns3:_="">
    <xsd:import namespace="http://schemas.microsoft.com/sharepoint/v3"/>
    <xsd:import namespace="ac588bd9-4874-42a8-aa7b-42b3a1a90466"/>
    <xsd:import namespace="697d8711-9bd3-4648-b396-b2feead7a9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Tag" minOccurs="0"/>
                <xsd:element ref="ns2:MediaServiceObjectDetectorVersions" minOccurs="0"/>
                <xsd:element ref="ns2:Observa_x00e7__x00e3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88bd9-4874-42a8-aa7b-42b3a1a904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ee6421aa-d9b0-4e3c-95a8-8135cba9e2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Tag" ma:index="26" nillable="true" ma:displayName="Tag" ma:format="Dropdown" ma:internalName="Ta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onte Oficial de Dados"/>
                    <xsd:enumeration value="Versão Atual"/>
                    <xsd:enumeration value="Fonte Subsidiária de Dados"/>
                    <xsd:enumeration value="Urgente"/>
                    <xsd:enumeration value="Modelo"/>
                    <xsd:enumeration value="Rascunho | Desatualizado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bserva_x00e7__x00e3_o" ma:index="28" nillable="true" ma:displayName="Observação" ma:format="Dropdown" ma:internalName="Observa_x00e7__x00e3_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d8711-9bd3-4648-b396-b2feead7a98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db89d77-8423-46b5-b95a-f1facf481541}" ma:internalName="TaxCatchAll" ma:showField="CatchAllData" ma:web="697d8711-9bd3-4648-b396-b2feead7a9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614864-6244-4F80-8AFF-FD4197EA6F59}"/>
</file>

<file path=customXml/itemProps2.xml><?xml version="1.0" encoding="utf-8"?>
<ds:datastoreItem xmlns:ds="http://schemas.openxmlformats.org/officeDocument/2006/customXml" ds:itemID="{81205C2E-E9B3-40CB-B1D0-6F005EE50E7C}"/>
</file>

<file path=customXml/itemProps3.xml><?xml version="1.0" encoding="utf-8"?>
<ds:datastoreItem xmlns:ds="http://schemas.openxmlformats.org/officeDocument/2006/customXml" ds:itemID="{C9BD8022-971B-43EA-B833-D0ED984734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Alexa Mesquita de Oliveira</cp:lastModifiedBy>
  <cp:revision/>
  <dcterms:created xsi:type="dcterms:W3CDTF">2023-06-21T18:16:05Z</dcterms:created>
  <dcterms:modified xsi:type="dcterms:W3CDTF">2023-08-21T18:23:24Z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0x010100AB48BAA1F3F06F428903843101615C91</vt:lpwstr>
  </property>
  <property fmtid="{D5CDD505-2E9C-101B-9397-08002B2CF9AE}" pid="3" name="MediaServiceImageTags">
    <vt:lpwstr/>
  </property>
</Properties>
</file>